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65" windowWidth="20115" windowHeight="7320"/>
  </bookViews>
  <sheets>
    <sheet name="Variables" sheetId="4" r:id="rId1"/>
    <sheet name="Assumptions" sheetId="2" r:id="rId2"/>
    <sheet name="Detailed Calculations" sheetId="1" r:id="rId3"/>
    <sheet name="Results" sheetId="3" r:id="rId4"/>
  </sheets>
  <definedNames>
    <definedName name="_xlnm.Print_Area" localSheetId="1">Assumptions!$A$1:$J$46</definedName>
    <definedName name="_xlnm.Print_Area" localSheetId="2">'Detailed Calculations'!$A$1:$G$50</definedName>
    <definedName name="_xlnm.Print_Area" localSheetId="3">Results!$A$1:$J$45</definedName>
    <definedName name="_xlnm.Print_Area" localSheetId="0">Variables!$A$1:$C$37</definedName>
  </definedNames>
  <calcPr calcId="145621"/>
</workbook>
</file>

<file path=xl/calcChain.xml><?xml version="1.0" encoding="utf-8"?>
<calcChain xmlns="http://schemas.openxmlformats.org/spreadsheetml/2006/main">
  <c r="D30" i="2" l="1"/>
  <c r="D29" i="2"/>
  <c r="D27" i="2"/>
  <c r="I9" i="3" l="1"/>
  <c r="D19" i="2"/>
  <c r="D34" i="1" s="1"/>
  <c r="I21" i="2"/>
  <c r="F21" i="2"/>
  <c r="H21" i="2"/>
  <c r="E21" i="2"/>
  <c r="G23" i="2"/>
  <c r="J23" i="2" s="1"/>
  <c r="H22" i="2"/>
  <c r="F22" i="2"/>
  <c r="E20" i="2"/>
  <c r="E41" i="1" s="1"/>
  <c r="I20" i="2"/>
  <c r="H20" i="2"/>
  <c r="G20" i="2"/>
  <c r="F20" i="2"/>
  <c r="D4" i="2"/>
  <c r="D15" i="1" l="1"/>
  <c r="D39" i="1"/>
  <c r="G39" i="1" s="1"/>
  <c r="D41" i="1"/>
  <c r="J19" i="2"/>
  <c r="F35" i="1"/>
  <c r="F36" i="1" s="1"/>
  <c r="E35" i="1"/>
  <c r="E36" i="1" s="1"/>
  <c r="F41" i="1"/>
  <c r="G34" i="1"/>
  <c r="J20" i="2"/>
  <c r="J21" i="2"/>
  <c r="J22" i="2"/>
  <c r="D25" i="2"/>
  <c r="D24" i="2"/>
  <c r="I10" i="2"/>
  <c r="H10" i="2"/>
  <c r="G10" i="2"/>
  <c r="F10" i="2"/>
  <c r="E10" i="2"/>
  <c r="I12" i="3" s="1"/>
  <c r="I9" i="2"/>
  <c r="H9" i="2"/>
  <c r="G9" i="2"/>
  <c r="F9" i="2"/>
  <c r="E9" i="2"/>
  <c r="D9" i="2"/>
  <c r="I11" i="3" s="1"/>
  <c r="I8" i="2"/>
  <c r="H8" i="2"/>
  <c r="G8" i="2"/>
  <c r="F8" i="2"/>
  <c r="E8" i="2"/>
  <c r="D8" i="2"/>
  <c r="I10" i="3" s="1"/>
  <c r="D14" i="2"/>
  <c r="D13" i="2"/>
  <c r="D16" i="1" s="1"/>
  <c r="G16" i="1" s="1"/>
  <c r="D12" i="2"/>
  <c r="F45" i="2"/>
  <c r="E38" i="2"/>
  <c r="E37" i="2"/>
  <c r="E36" i="2"/>
  <c r="E35" i="2"/>
  <c r="E34" i="2"/>
  <c r="G15" i="1" l="1"/>
  <c r="J25" i="2"/>
  <c r="J26" i="2" s="1"/>
  <c r="D33" i="1"/>
  <c r="G33" i="1" s="1"/>
  <c r="D7" i="1"/>
  <c r="G7" i="1" s="1"/>
  <c r="G35" i="1"/>
  <c r="G41" i="1"/>
  <c r="D26" i="2"/>
  <c r="D10" i="1"/>
  <c r="D17" i="1"/>
  <c r="D19" i="1" s="1"/>
  <c r="E8" i="1"/>
  <c r="D9" i="1"/>
  <c r="F8" i="1"/>
  <c r="E9" i="1"/>
  <c r="E11" i="1"/>
  <c r="F9" i="1"/>
  <c r="F10" i="1"/>
  <c r="F11" i="1"/>
  <c r="J10" i="2"/>
  <c r="E17" i="1"/>
  <c r="D11" i="1"/>
  <c r="F17" i="1"/>
  <c r="J8" i="2"/>
  <c r="J9" i="2"/>
  <c r="E10" i="1"/>
  <c r="E18" i="1"/>
  <c r="F18" i="1"/>
  <c r="D36" i="1" l="1"/>
  <c r="I125" i="3" s="1"/>
  <c r="G36" i="1"/>
  <c r="D31" i="3" s="1"/>
  <c r="F40" i="1"/>
  <c r="D40" i="1"/>
  <c r="D42" i="1" s="1"/>
  <c r="E40" i="1"/>
  <c r="E12" i="1"/>
  <c r="G9" i="1"/>
  <c r="F19" i="1"/>
  <c r="G8" i="1"/>
  <c r="G11" i="1"/>
  <c r="D12" i="1"/>
  <c r="E19" i="1"/>
  <c r="J124" i="3" s="1"/>
  <c r="F12" i="1"/>
  <c r="G10" i="1"/>
  <c r="G18" i="1"/>
  <c r="G17" i="1"/>
  <c r="D21" i="1" l="1"/>
  <c r="D23" i="1" s="1"/>
  <c r="I133" i="3" s="1"/>
  <c r="I124" i="3"/>
  <c r="K124" i="3" s="1"/>
  <c r="E42" i="1"/>
  <c r="E44" i="1" s="1"/>
  <c r="E46" i="1" s="1"/>
  <c r="F42" i="1"/>
  <c r="F44" i="1" s="1"/>
  <c r="F46" i="1" s="1"/>
  <c r="D44" i="1"/>
  <c r="G40" i="1"/>
  <c r="F21" i="1"/>
  <c r="F23" i="1" s="1"/>
  <c r="E21" i="1"/>
  <c r="E23" i="1" s="1"/>
  <c r="G12" i="1"/>
  <c r="D30" i="3" s="1"/>
  <c r="G19" i="1"/>
  <c r="F30" i="3" s="1"/>
  <c r="J125" i="3" l="1"/>
  <c r="K125" i="3" s="1"/>
  <c r="L124" i="3"/>
  <c r="G42" i="1"/>
  <c r="F31" i="3" s="1"/>
  <c r="E25" i="1"/>
  <c r="E27" i="1" s="1"/>
  <c r="J133" i="3" s="1"/>
  <c r="E48" i="1"/>
  <c r="F48" i="1" s="1"/>
  <c r="D46" i="1"/>
  <c r="L125" i="3" s="1"/>
  <c r="I128" i="3"/>
  <c r="I126" i="3"/>
  <c r="G21" i="1"/>
  <c r="H30" i="3" s="1"/>
  <c r="J128" i="3" l="1"/>
  <c r="G44" i="1"/>
  <c r="H31" i="3" s="1"/>
  <c r="I134" i="3"/>
  <c r="D32" i="3"/>
  <c r="D33" i="3" s="1"/>
  <c r="F25" i="1"/>
  <c r="F27" i="1" s="1"/>
  <c r="G46" i="1"/>
  <c r="E50" i="1"/>
  <c r="J134" i="3" s="1"/>
  <c r="J126" i="3"/>
  <c r="G23" i="1"/>
  <c r="F32" i="3" l="1"/>
  <c r="F33" i="3" s="1"/>
  <c r="K133" i="3"/>
  <c r="F50" i="1"/>
  <c r="L126" i="3"/>
  <c r="K126" i="3"/>
  <c r="K128" i="3"/>
  <c r="H32" i="3" l="1"/>
  <c r="H33" i="3" s="1"/>
  <c r="K134" i="3"/>
</calcChain>
</file>

<file path=xl/sharedStrings.xml><?xml version="1.0" encoding="utf-8"?>
<sst xmlns="http://schemas.openxmlformats.org/spreadsheetml/2006/main" count="152" uniqueCount="114">
  <si>
    <t>Labor</t>
  </si>
  <si>
    <t>Strip &amp; Prep</t>
  </si>
  <si>
    <t>Application</t>
  </si>
  <si>
    <t>Reapplication</t>
  </si>
  <si>
    <t>Materials</t>
  </si>
  <si>
    <t>Product</t>
  </si>
  <si>
    <t>Sundries</t>
  </si>
  <si>
    <t>Year 1</t>
  </si>
  <si>
    <t>Year 2</t>
  </si>
  <si>
    <t>Year 3</t>
  </si>
  <si>
    <t>Year 4</t>
  </si>
  <si>
    <t>Year 5</t>
  </si>
  <si>
    <t>Year 6</t>
  </si>
  <si>
    <t>TOTAL LABOR</t>
  </si>
  <si>
    <t>TOTAL</t>
  </si>
  <si>
    <t>TOTAL MATERIALS</t>
  </si>
  <si>
    <t>GlossTek Calcuations</t>
  </si>
  <si>
    <t>COST/SQ. FT.</t>
  </si>
  <si>
    <t>Conventional:</t>
  </si>
  <si>
    <t>GlossTek Cost/Gallon</t>
  </si>
  <si>
    <t>GlossTek Coverage/Gallon</t>
  </si>
  <si>
    <t>Standards Used in Calculation</t>
  </si>
  <si>
    <t>ISSA - Hours per 1000 sq ft</t>
  </si>
  <si>
    <t>ISSA - Minutes per 1000 sq ft</t>
  </si>
  <si>
    <t>GlossTek Standard</t>
  </si>
  <si>
    <t>Burnishing</t>
  </si>
  <si>
    <t>Auto scrub floor (36 in.)</t>
  </si>
  <si>
    <t>Application time per conventional coat</t>
  </si>
  <si>
    <t>Strip Conventional Finish</t>
  </si>
  <si>
    <t>Scrubbing, 27" (for  conv recoat)</t>
  </si>
  <si>
    <t>GlossTek Application (min / 1000 sq ft)</t>
  </si>
  <si>
    <t>Restoration - Screen (min / 1000 sq ft)</t>
  </si>
  <si>
    <t># Finish Coats per Strip</t>
  </si>
  <si>
    <t># Finish Coats per Scrub</t>
  </si>
  <si>
    <t>Conventional Stripper Dilution (oz / gal)</t>
  </si>
  <si>
    <t>Conv. Stripper Coverage (sq ft per gal of diluted)</t>
  </si>
  <si>
    <t>Cost of GlossTek Sundries (per 1000 sq ft)</t>
  </si>
  <si>
    <t>Conventional Calcuations</t>
  </si>
  <si>
    <t>Scrub/Recoats</t>
  </si>
  <si>
    <t>Coverage of Conventional Finish (sq ft / gal)</t>
  </si>
  <si>
    <t>Strip/Recoats</t>
  </si>
  <si>
    <t>Strip/Prep</t>
  </si>
  <si>
    <t>Initial Application</t>
  </si>
  <si>
    <t>Scrub/Recoat</t>
  </si>
  <si>
    <t>Size of Area (total square feet)</t>
  </si>
  <si>
    <t>Frequency Floors are Burnished:</t>
  </si>
  <si>
    <t>Frequency Floors are Scrubbed &amp; Recoated:</t>
  </si>
  <si>
    <t>Frequency Floors are Stripped &amp; Recoated:</t>
  </si>
  <si>
    <t>Labor Cost/Hour:</t>
  </si>
  <si>
    <t>Cost Per Gallon of Conventional Finish</t>
  </si>
  <si>
    <t>Cost Per Gallon of Conventional Stripper</t>
  </si>
  <si>
    <t>Cummulative Total</t>
  </si>
  <si>
    <t>Cummulative Cost/Sq. Ft.</t>
  </si>
  <si>
    <t>Assumptions on a Yearly Basis</t>
  </si>
  <si>
    <t>GlossTek:</t>
  </si>
  <si>
    <t>Return On Investment Analysis</t>
  </si>
  <si>
    <t>Answering the following questions will help determine the type of savings your facility will receive by using JFB Hart's Ultra Durable Products:</t>
  </si>
  <si>
    <t>Initial Strip:</t>
  </si>
  <si>
    <t>Initial Strip</t>
  </si>
  <si>
    <t>Labor Cost/Sq. Ft.</t>
  </si>
  <si>
    <t>Sundry Cost/Sq. Ft.</t>
  </si>
  <si>
    <t>Strip Cost/Sq. Ft.</t>
  </si>
  <si>
    <t>Product Cost/Sq. Ft.:</t>
  </si>
  <si>
    <t>Conventional Acrylic Finish Questions:</t>
  </si>
  <si>
    <t>GlossTek Questions:</t>
  </si>
  <si>
    <t>Return on Investment</t>
  </si>
  <si>
    <t>Detailed Conventional vs. GlossTek Calucation Costs</t>
  </si>
  <si>
    <t>What is the total square footage you are looking to coat?</t>
  </si>
  <si>
    <t xml:space="preserve">    - How many times do you burnish every week?</t>
  </si>
  <si>
    <t xml:space="preserve">    - How often do you scrub and recoat your floors each year?</t>
  </si>
  <si>
    <t xml:space="preserve">    - How many times do you do a complete strip and recoat every year?</t>
  </si>
  <si>
    <t xml:space="preserve">    - What is your labor cost per hour?</t>
  </si>
  <si>
    <t xml:space="preserve">    - What is the cost per gallon of conventional finish?</t>
  </si>
  <si>
    <t xml:space="preserve">    - What is the cost per gallon of conventional stripper?</t>
  </si>
  <si>
    <t xml:space="preserve">    - What is the cost per gallon of GlossTek?</t>
  </si>
  <si>
    <t xml:space="preserve">    - What is the sq. ft. per gallon of GlossTek?</t>
  </si>
  <si>
    <t xml:space="preserve">    - What percent of the floor will need to be recoated every 12 months?</t>
  </si>
  <si>
    <t xml:space="preserve">    - What percent of the floor will need to be recoated every 18 months?</t>
  </si>
  <si>
    <t xml:space="preserve">    - What percent of the floor will need to be recoated every 2 years?</t>
  </si>
  <si>
    <t xml:space="preserve">    - What percent of the floor will need to be recoated every 3 years?</t>
  </si>
  <si>
    <t>Sq. Ft. to be Recoated Every 12 Months</t>
  </si>
  <si>
    <t>Sq. Ft. to be Recoated Every 18 Months</t>
  </si>
  <si>
    <t>Sq. Ft. to be Recoated Every 24 Months</t>
  </si>
  <si>
    <t>Sq. Ft. to be Recoated Every 36 Months</t>
  </si>
  <si>
    <t>Sq. Ft. of Initial Application:</t>
  </si>
  <si>
    <t>CONVENTIONAL TOTAL</t>
  </si>
  <si>
    <t>GLOSSTEK TOTAL</t>
  </si>
  <si>
    <t>Conventional</t>
  </si>
  <si>
    <t>GlossTek</t>
  </si>
  <si>
    <t>Cost/Sq. Ft.</t>
  </si>
  <si>
    <t>Savings</t>
  </si>
  <si>
    <t xml:space="preserve">      - Total square feet of the facility:</t>
  </si>
  <si>
    <t xml:space="preserve">      - The number of times the floors are scrubbed and recoated per year:</t>
  </si>
  <si>
    <t xml:space="preserve">      - The number of times the floors are stripped per year:</t>
  </si>
  <si>
    <t>Total Costs</t>
  </si>
  <si>
    <r>
      <t xml:space="preserve">10210 Werch Drive, Suite 203  ♦ Woodridge, Illinois 60517  ♦  Office: (630) 633-6228  ♦  </t>
    </r>
    <r>
      <rPr>
        <b/>
        <u/>
        <sz val="9"/>
        <color rgb="FF0000FF"/>
        <rFont val="Calibri"/>
        <family val="2"/>
        <scheme val="minor"/>
      </rPr>
      <t>www.jfbhartcoatings.com</t>
    </r>
    <r>
      <rPr>
        <b/>
        <sz val="9"/>
        <color theme="1"/>
        <rFont val="Calibri"/>
        <family val="2"/>
        <scheme val="minor"/>
      </rPr>
      <t xml:space="preserve"> </t>
    </r>
  </si>
  <si>
    <t>Total Sq. Ft. Coated Over 6 Years</t>
  </si>
  <si>
    <t>Total Gallons Needed Over 6 Years</t>
  </si>
  <si>
    <t>Additional GlossTek Benefits Achieved Not Calculated in the ROI Model:</t>
  </si>
  <si>
    <t>Screen Cost/Sq. Ft.</t>
  </si>
  <si>
    <t xml:space="preserve">     1) Great looking floors all day, every day</t>
  </si>
  <si>
    <t xml:space="preserve">     2) Antimicrobial Protection through the use of Microban Antimicrobial Additives</t>
  </si>
  <si>
    <t xml:space="preserve">     3) Reduces operational interference - less disruption</t>
  </si>
  <si>
    <t xml:space="preserve">     4) Reduce risk for slip and falls by less work performed on floors</t>
  </si>
  <si>
    <t xml:space="preserve">     6) Reduce waste by less strip and recoats, burnishing pads, chemicals and packaging</t>
  </si>
  <si>
    <t xml:space="preserve">     5) Reduce electrical usage from not using burnishing machines</t>
  </si>
  <si>
    <t xml:space="preserve">      - The number of times the floors are burnished per year:</t>
  </si>
  <si>
    <t>The results are based on the following assumptions:</t>
  </si>
  <si>
    <t>Labor Assumptions:</t>
  </si>
  <si>
    <t>Return on                         Investment Analysis</t>
  </si>
  <si>
    <r>
      <rPr>
        <b/>
        <sz val="10"/>
        <color theme="1" tint="0.499984740745262"/>
        <rFont val="Calibri"/>
        <family val="2"/>
        <scheme val="minor"/>
      </rPr>
      <t xml:space="preserve">10210 Werch Drive, Suite 203  ♦ Woodridge, Illinois 60517  ♦  Office: (630) 633-6228  ♦  </t>
    </r>
    <r>
      <rPr>
        <b/>
        <u/>
        <sz val="10"/>
        <color rgb="FF0000FF"/>
        <rFont val="Calibri"/>
        <family val="2"/>
        <scheme val="minor"/>
      </rPr>
      <t>www.jfbhartcoatings.com</t>
    </r>
    <r>
      <rPr>
        <b/>
        <sz val="10"/>
        <color theme="1"/>
        <rFont val="Calibri"/>
        <family val="2"/>
        <scheme val="minor"/>
      </rPr>
      <t xml:space="preserve"> </t>
    </r>
  </si>
  <si>
    <t>Cumulative Three Year Savings (Cost Per Sq. Ft.)</t>
  </si>
  <si>
    <t>Cumulative Savings</t>
  </si>
  <si>
    <t>Savings 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</si>
</sst>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0.0"/>
    <numFmt numFmtId="166" formatCode="_(&quot;$&quot;* #,##0.000_);_(&quot;$&quot;* \(#,##0.000\);_(&quot;$&quot;* &quot;-&quot;?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b/>
      <u val="doubleAccounting"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u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u val="singleAccounting"/>
      <sz val="11"/>
      <color theme="1"/>
      <name val="Times New Roman"/>
      <family val="1"/>
    </font>
    <font>
      <b/>
      <u/>
      <sz val="10"/>
      <color rgb="FF0000FF"/>
      <name val="Calibri"/>
      <family val="2"/>
      <scheme val="minor"/>
    </font>
    <font>
      <b/>
      <i/>
      <u/>
      <sz val="14"/>
      <color theme="1"/>
      <name val="Times New Roman"/>
      <family val="1"/>
    </font>
    <font>
      <b/>
      <u/>
      <sz val="9"/>
      <color rgb="FF0000FF"/>
      <name val="Calibri"/>
      <family val="2"/>
      <scheme val="minor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u val="doubleAccounting"/>
      <sz val="11"/>
      <color theme="1"/>
      <name val="Times New Roman"/>
      <family val="1"/>
    </font>
    <font>
      <b/>
      <i/>
      <sz val="20"/>
      <color theme="1"/>
      <name val="Times New Roman"/>
      <family val="1"/>
    </font>
    <font>
      <b/>
      <sz val="10"/>
      <color theme="1" tint="0.499984740745262"/>
      <name val="Calibri"/>
      <family val="2"/>
      <scheme val="minor"/>
    </font>
    <font>
      <b/>
      <u val="double"/>
      <sz val="12"/>
      <color theme="1"/>
      <name val="Times New Roman"/>
      <family val="1"/>
    </font>
    <font>
      <u val="double"/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theme="1" tint="0.499984740745262"/>
      </left>
      <right/>
      <top style="double">
        <color theme="1" tint="0.499984740745262"/>
      </top>
      <bottom/>
      <diagonal/>
    </border>
    <border>
      <left/>
      <right/>
      <top style="double">
        <color theme="1" tint="0.499984740745262"/>
      </top>
      <bottom/>
      <diagonal/>
    </border>
    <border>
      <left/>
      <right style="double">
        <color theme="1" tint="0.499984740745262"/>
      </right>
      <top style="double">
        <color theme="1" tint="0.499984740745262"/>
      </top>
      <bottom/>
      <diagonal/>
    </border>
    <border>
      <left style="double">
        <color theme="1" tint="0.499984740745262"/>
      </left>
      <right/>
      <top/>
      <bottom/>
      <diagonal/>
    </border>
    <border>
      <left/>
      <right style="double">
        <color theme="1" tint="0.499984740745262"/>
      </right>
      <top/>
      <bottom/>
      <diagonal/>
    </border>
    <border>
      <left style="double">
        <color theme="1" tint="0.499984740745262"/>
      </left>
      <right/>
      <top/>
      <bottom style="double">
        <color theme="1" tint="0.499984740745262"/>
      </bottom>
      <diagonal/>
    </border>
    <border>
      <left/>
      <right/>
      <top/>
      <bottom style="double">
        <color theme="1" tint="0.499984740745262"/>
      </bottom>
      <diagonal/>
    </border>
    <border>
      <left/>
      <right style="double">
        <color theme="1" tint="0.499984740745262"/>
      </right>
      <top/>
      <bottom style="double">
        <color theme="1" tint="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5">
    <xf numFmtId="0" fontId="0" fillId="0" borderId="0" xfId="0"/>
    <xf numFmtId="0" fontId="4" fillId="3" borderId="0" xfId="0" applyFont="1" applyFill="1" applyAlignment="1">
      <alignment horizontal="center"/>
    </xf>
    <xf numFmtId="0" fontId="3" fillId="3" borderId="0" xfId="0" applyFont="1" applyFill="1"/>
    <xf numFmtId="0" fontId="5" fillId="3" borderId="0" xfId="0" applyFont="1" applyFill="1" applyAlignment="1">
      <alignment horizontal="right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0" xfId="0" applyFont="1" applyFill="1" applyBorder="1"/>
    <xf numFmtId="44" fontId="3" fillId="3" borderId="0" xfId="0" applyNumberFormat="1" applyFont="1" applyFill="1" applyBorder="1" applyAlignment="1">
      <alignment horizontal="right"/>
    </xf>
    <xf numFmtId="44" fontId="5" fillId="3" borderId="6" xfId="0" applyNumberFormat="1" applyFont="1" applyFill="1" applyBorder="1" applyAlignment="1">
      <alignment horizontal="right"/>
    </xf>
    <xf numFmtId="0" fontId="5" fillId="3" borderId="5" xfId="0" applyFont="1" applyFill="1" applyBorder="1" applyAlignment="1">
      <alignment horizontal="left"/>
    </xf>
    <xf numFmtId="44" fontId="3" fillId="3" borderId="0" xfId="0" applyNumberFormat="1" applyFont="1" applyFill="1" applyBorder="1"/>
    <xf numFmtId="44" fontId="3" fillId="3" borderId="6" xfId="0" applyNumberFormat="1" applyFont="1" applyFill="1" applyBorder="1"/>
    <xf numFmtId="0" fontId="5" fillId="3" borderId="0" xfId="0" applyFont="1" applyFill="1" applyBorder="1" applyAlignment="1">
      <alignment horizontal="left"/>
    </xf>
    <xf numFmtId="44" fontId="5" fillId="3" borderId="0" xfId="0" applyNumberFormat="1" applyFont="1" applyFill="1" applyBorder="1"/>
    <xf numFmtId="0" fontId="7" fillId="3" borderId="0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3" fillId="3" borderId="6" xfId="0" applyFont="1" applyFill="1" applyBorder="1"/>
    <xf numFmtId="44" fontId="5" fillId="3" borderId="6" xfId="0" applyNumberFormat="1" applyFont="1" applyFill="1" applyBorder="1"/>
    <xf numFmtId="0" fontId="5" fillId="3" borderId="8" xfId="0" applyFont="1" applyFill="1" applyBorder="1"/>
    <xf numFmtId="44" fontId="5" fillId="3" borderId="8" xfId="0" applyNumberFormat="1" applyFont="1" applyFill="1" applyBorder="1"/>
    <xf numFmtId="0" fontId="5" fillId="3" borderId="9" xfId="0" applyFont="1" applyFill="1" applyBorder="1"/>
    <xf numFmtId="44" fontId="10" fillId="3" borderId="0" xfId="0" applyNumberFormat="1" applyFont="1" applyFill="1" applyBorder="1" applyAlignment="1">
      <alignment horizontal="right"/>
    </xf>
    <xf numFmtId="44" fontId="11" fillId="3" borderId="6" xfId="0" applyNumberFormat="1" applyFont="1" applyFill="1" applyBorder="1" applyAlignment="1">
      <alignment horizontal="right"/>
    </xf>
    <xf numFmtId="44" fontId="10" fillId="3" borderId="0" xfId="0" applyNumberFormat="1" applyFont="1" applyFill="1" applyBorder="1"/>
    <xf numFmtId="44" fontId="10" fillId="3" borderId="6" xfId="0" applyNumberFormat="1" applyFont="1" applyFill="1" applyBorder="1"/>
    <xf numFmtId="0" fontId="8" fillId="3" borderId="0" xfId="0" applyFont="1" applyFill="1"/>
    <xf numFmtId="0" fontId="9" fillId="3" borderId="0" xfId="0" applyFont="1" applyFill="1" applyAlignment="1">
      <alignment horizontal="center"/>
    </xf>
    <xf numFmtId="0" fontId="9" fillId="3" borderId="0" xfId="0" applyFont="1" applyFill="1" applyAlignment="1"/>
    <xf numFmtId="0" fontId="8" fillId="3" borderId="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44" fontId="8" fillId="3" borderId="12" xfId="0" applyNumberFormat="1" applyFont="1" applyFill="1" applyBorder="1"/>
    <xf numFmtId="0" fontId="8" fillId="3" borderId="0" xfId="0" applyFont="1" applyFill="1" applyBorder="1" applyAlignment="1">
      <alignment horizontal="right"/>
    </xf>
    <xf numFmtId="0" fontId="9" fillId="3" borderId="0" xfId="0" applyFont="1" applyFill="1" applyAlignment="1">
      <alignment horizontal="left"/>
    </xf>
    <xf numFmtId="0" fontId="7" fillId="4" borderId="16" xfId="0" applyFont="1" applyFill="1" applyBorder="1" applyAlignment="1">
      <alignment horizontal="right" wrapText="1"/>
    </xf>
    <xf numFmtId="0" fontId="7" fillId="4" borderId="8" xfId="0" applyFont="1" applyFill="1" applyBorder="1" applyAlignment="1">
      <alignment horizontal="right" wrapText="1"/>
    </xf>
    <xf numFmtId="2" fontId="7" fillId="4" borderId="8" xfId="0" applyNumberFormat="1" applyFont="1" applyFill="1" applyBorder="1" applyAlignment="1">
      <alignment horizontal="center"/>
    </xf>
    <xf numFmtId="165" fontId="7" fillId="4" borderId="8" xfId="0" applyNumberFormat="1" applyFont="1" applyFill="1" applyBorder="1" applyAlignment="1">
      <alignment horizontal="center"/>
    </xf>
    <xf numFmtId="165" fontId="8" fillId="4" borderId="17" xfId="0" applyNumberFormat="1" applyFont="1" applyFill="1" applyBorder="1" applyAlignment="1">
      <alignment horizontal="center"/>
    </xf>
    <xf numFmtId="0" fontId="7" fillId="4" borderId="18" xfId="0" applyFont="1" applyFill="1" applyBorder="1" applyAlignment="1">
      <alignment horizontal="right" wrapText="1"/>
    </xf>
    <xf numFmtId="0" fontId="7" fillId="4" borderId="10" xfId="0" applyFont="1" applyFill="1" applyBorder="1" applyAlignment="1">
      <alignment horizontal="right" wrapText="1"/>
    </xf>
    <xf numFmtId="2" fontId="7" fillId="4" borderId="10" xfId="0" applyNumberFormat="1" applyFont="1" applyFill="1" applyBorder="1" applyAlignment="1">
      <alignment horizontal="center"/>
    </xf>
    <xf numFmtId="165" fontId="7" fillId="4" borderId="10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0" fontId="7" fillId="4" borderId="18" xfId="0" applyFont="1" applyFill="1" applyBorder="1" applyAlignment="1">
      <alignment horizontal="right"/>
    </xf>
    <xf numFmtId="0" fontId="7" fillId="4" borderId="10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165" fontId="7" fillId="4" borderId="1" xfId="0" applyNumberFormat="1" applyFont="1" applyFill="1" applyBorder="1" applyAlignment="1">
      <alignment horizontal="center"/>
    </xf>
    <xf numFmtId="0" fontId="7" fillId="4" borderId="10" xfId="0" applyFont="1" applyFill="1" applyBorder="1"/>
    <xf numFmtId="164" fontId="7" fillId="4" borderId="18" xfId="0" applyNumberFormat="1" applyFont="1" applyFill="1" applyBorder="1" applyAlignment="1">
      <alignment horizontal="right"/>
    </xf>
    <xf numFmtId="164" fontId="7" fillId="4" borderId="10" xfId="0" applyNumberFormat="1" applyFont="1" applyFill="1" applyBorder="1" applyAlignment="1">
      <alignment horizontal="right"/>
    </xf>
    <xf numFmtId="44" fontId="7" fillId="4" borderId="1" xfId="1" applyFont="1" applyFill="1" applyBorder="1" applyAlignment="1">
      <alignment horizontal="center"/>
    </xf>
    <xf numFmtId="164" fontId="7" fillId="4" borderId="19" xfId="0" applyNumberFormat="1" applyFont="1" applyFill="1" applyBorder="1" applyAlignment="1">
      <alignment horizontal="right"/>
    </xf>
    <xf numFmtId="164" fontId="7" fillId="4" borderId="20" xfId="0" applyNumberFormat="1" applyFont="1" applyFill="1" applyBorder="1" applyAlignment="1">
      <alignment horizontal="right"/>
    </xf>
    <xf numFmtId="0" fontId="7" fillId="4" borderId="20" xfId="0" applyFont="1" applyFill="1" applyBorder="1"/>
    <xf numFmtId="37" fontId="7" fillId="4" borderId="21" xfId="1" applyNumberFormat="1" applyFont="1" applyFill="1" applyBorder="1" applyAlignment="1">
      <alignment horizontal="center"/>
    </xf>
    <xf numFmtId="164" fontId="9" fillId="2" borderId="14" xfId="0" applyNumberFormat="1" applyFont="1" applyFill="1" applyBorder="1" applyAlignment="1">
      <alignment horizontal="right"/>
    </xf>
    <xf numFmtId="0" fontId="7" fillId="2" borderId="14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164" fontId="7" fillId="2" borderId="22" xfId="0" applyNumberFormat="1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3" fontId="8" fillId="3" borderId="12" xfId="0" applyNumberFormat="1" applyFont="1" applyFill="1" applyBorder="1" applyAlignment="1">
      <alignment horizontal="center"/>
    </xf>
    <xf numFmtId="44" fontId="8" fillId="3" borderId="0" xfId="0" applyNumberFormat="1" applyFont="1" applyFill="1" applyBorder="1"/>
    <xf numFmtId="44" fontId="8" fillId="3" borderId="15" xfId="0" applyNumberFormat="1" applyFont="1" applyFill="1" applyBorder="1"/>
    <xf numFmtId="0" fontId="8" fillId="3" borderId="1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44" fontId="3" fillId="3" borderId="6" xfId="0" applyNumberFormat="1" applyFont="1" applyFill="1" applyBorder="1" applyAlignment="1">
      <alignment horizontal="right"/>
    </xf>
    <xf numFmtId="0" fontId="16" fillId="3" borderId="0" xfId="0" applyFont="1" applyFill="1"/>
    <xf numFmtId="0" fontId="17" fillId="3" borderId="0" xfId="0" applyFont="1" applyFill="1" applyAlignment="1">
      <alignment horizontal="center" wrapText="1"/>
    </xf>
    <xf numFmtId="0" fontId="16" fillId="3" borderId="0" xfId="0" applyFont="1" applyFill="1" applyAlignment="1">
      <alignment horizontal="left"/>
    </xf>
    <xf numFmtId="164" fontId="16" fillId="3" borderId="0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wrapText="1"/>
    </xf>
    <xf numFmtId="0" fontId="16" fillId="3" borderId="0" xfId="0" applyFont="1" applyFill="1" applyAlignment="1">
      <alignment horizontal="left" wrapText="1"/>
    </xf>
    <xf numFmtId="3" fontId="8" fillId="3" borderId="15" xfId="0" applyNumberFormat="1" applyFont="1" applyFill="1" applyBorder="1" applyAlignment="1">
      <alignment horizontal="center"/>
    </xf>
    <xf numFmtId="44" fontId="6" fillId="3" borderId="0" xfId="0" applyNumberFormat="1" applyFont="1" applyFill="1" applyBorder="1" applyAlignment="1">
      <alignment horizontal="right"/>
    </xf>
    <xf numFmtId="44" fontId="11" fillId="3" borderId="6" xfId="0" applyNumberFormat="1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/>
    <xf numFmtId="0" fontId="5" fillId="3" borderId="5" xfId="0" applyFont="1" applyFill="1" applyBorder="1"/>
    <xf numFmtId="0" fontId="5" fillId="3" borderId="0" xfId="0" applyFont="1" applyFill="1" applyBorder="1"/>
    <xf numFmtId="0" fontId="5" fillId="3" borderId="6" xfId="0" applyFont="1" applyFill="1" applyBorder="1"/>
    <xf numFmtId="0" fontId="14" fillId="3" borderId="7" xfId="0" applyFont="1" applyFill="1" applyBorder="1"/>
    <xf numFmtId="0" fontId="16" fillId="3" borderId="0" xfId="0" applyFont="1" applyFill="1" applyBorder="1"/>
    <xf numFmtId="44" fontId="16" fillId="3" borderId="0" xfId="0" applyNumberFormat="1" applyFont="1" applyFill="1"/>
    <xf numFmtId="44" fontId="21" fillId="3" borderId="0" xfId="0" applyNumberFormat="1" applyFont="1" applyFill="1"/>
    <xf numFmtId="9" fontId="16" fillId="3" borderId="0" xfId="0" applyNumberFormat="1" applyFont="1" applyFill="1"/>
    <xf numFmtId="0" fontId="16" fillId="3" borderId="0" xfId="0" applyFont="1" applyFill="1" applyBorder="1" applyAlignment="1">
      <alignment vertical="center"/>
    </xf>
    <xf numFmtId="3" fontId="16" fillId="3" borderId="0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/>
    <xf numFmtId="42" fontId="16" fillId="3" borderId="0" xfId="0" applyNumberFormat="1" applyFont="1" applyFill="1"/>
    <xf numFmtId="42" fontId="21" fillId="3" borderId="0" xfId="0" applyNumberFormat="1" applyFont="1" applyFill="1"/>
    <xf numFmtId="0" fontId="19" fillId="3" borderId="0" xfId="0" applyFont="1" applyFill="1" applyBorder="1"/>
    <xf numFmtId="0" fontId="19" fillId="3" borderId="0" xfId="0" applyFont="1" applyFill="1" applyBorder="1" applyAlignment="1">
      <alignment vertical="center"/>
    </xf>
    <xf numFmtId="3" fontId="8" fillId="3" borderId="0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44" fontId="16" fillId="3" borderId="0" xfId="0" applyNumberFormat="1" applyFont="1" applyFill="1" applyBorder="1" applyAlignment="1">
      <alignment vertical="center"/>
    </xf>
    <xf numFmtId="0" fontId="25" fillId="3" borderId="0" xfId="0" applyFont="1" applyFill="1" applyBorder="1" applyAlignment="1">
      <alignment horizontal="right"/>
    </xf>
    <xf numFmtId="44" fontId="16" fillId="3" borderId="0" xfId="0" applyNumberFormat="1" applyFont="1" applyFill="1" applyBorder="1"/>
    <xf numFmtId="44" fontId="21" fillId="3" borderId="0" xfId="0" applyNumberFormat="1" applyFont="1" applyFill="1" applyBorder="1"/>
    <xf numFmtId="44" fontId="27" fillId="3" borderId="0" xfId="0" applyNumberFormat="1" applyFont="1" applyFill="1" applyBorder="1"/>
    <xf numFmtId="0" fontId="26" fillId="3" borderId="0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/>
    </xf>
    <xf numFmtId="0" fontId="16" fillId="3" borderId="3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23" fillId="3" borderId="0" xfId="0" applyFont="1" applyFill="1" applyAlignment="1">
      <alignment horizontal="left" wrapText="1"/>
    </xf>
    <xf numFmtId="0" fontId="23" fillId="3" borderId="0" xfId="0" applyFont="1" applyFill="1" applyAlignment="1">
      <alignment horizontal="left"/>
    </xf>
    <xf numFmtId="166" fontId="8" fillId="3" borderId="12" xfId="0" applyNumberFormat="1" applyFont="1" applyFill="1" applyBorder="1"/>
    <xf numFmtId="166" fontId="8" fillId="3" borderId="15" xfId="0" applyNumberFormat="1" applyFont="1" applyFill="1" applyBorder="1" applyAlignment="1">
      <alignment horizontal="center"/>
    </xf>
    <xf numFmtId="166" fontId="8" fillId="3" borderId="15" xfId="0" applyNumberFormat="1" applyFont="1" applyFill="1" applyBorder="1"/>
    <xf numFmtId="44" fontId="5" fillId="5" borderId="0" xfId="0" applyNumberFormat="1" applyFont="1" applyFill="1" applyBorder="1"/>
    <xf numFmtId="44" fontId="12" fillId="7" borderId="0" xfId="0" applyNumberFormat="1" applyFont="1" applyFill="1" applyBorder="1"/>
    <xf numFmtId="44" fontId="5" fillId="8" borderId="0" xfId="0" applyNumberFormat="1" applyFont="1" applyFill="1" applyBorder="1" applyAlignment="1">
      <alignment horizontal="right"/>
    </xf>
    <xf numFmtId="44" fontId="7" fillId="8" borderId="0" xfId="0" applyNumberFormat="1" applyFont="1" applyFill="1" applyBorder="1" applyAlignment="1">
      <alignment horizontal="right"/>
    </xf>
    <xf numFmtId="44" fontId="5" fillId="6" borderId="0" xfId="0" applyNumberFormat="1" applyFont="1" applyFill="1" applyBorder="1"/>
    <xf numFmtId="44" fontId="7" fillId="8" borderId="6" xfId="0" applyNumberFormat="1" applyFont="1" applyFill="1" applyBorder="1" applyAlignment="1">
      <alignment horizontal="right"/>
    </xf>
    <xf numFmtId="44" fontId="5" fillId="5" borderId="6" xfId="0" applyNumberFormat="1" applyFont="1" applyFill="1" applyBorder="1" applyAlignment="1">
      <alignment horizontal="right"/>
    </xf>
    <xf numFmtId="44" fontId="12" fillId="7" borderId="6" xfId="0" applyNumberFormat="1" applyFont="1" applyFill="1" applyBorder="1"/>
    <xf numFmtId="44" fontId="5" fillId="6" borderId="6" xfId="0" applyNumberFormat="1" applyFont="1" applyFill="1" applyBorder="1"/>
    <xf numFmtId="44" fontId="5" fillId="8" borderId="6" xfId="0" applyNumberFormat="1" applyFont="1" applyFill="1" applyBorder="1" applyAlignment="1">
      <alignment horizontal="right"/>
    </xf>
    <xf numFmtId="44" fontId="5" fillId="5" borderId="6" xfId="0" applyNumberFormat="1" applyFont="1" applyFill="1" applyBorder="1"/>
    <xf numFmtId="0" fontId="25" fillId="3" borderId="0" xfId="0" applyFont="1" applyFill="1" applyBorder="1" applyAlignment="1">
      <alignment horizontal="center"/>
    </xf>
    <xf numFmtId="0" fontId="16" fillId="3" borderId="24" xfId="0" applyFont="1" applyFill="1" applyBorder="1"/>
    <xf numFmtId="0" fontId="16" fillId="3" borderId="25" xfId="0" applyFont="1" applyFill="1" applyBorder="1"/>
    <xf numFmtId="0" fontId="16" fillId="3" borderId="26" xfId="0" applyFont="1" applyFill="1" applyBorder="1"/>
    <xf numFmtId="0" fontId="16" fillId="3" borderId="27" xfId="0" applyFont="1" applyFill="1" applyBorder="1"/>
    <xf numFmtId="0" fontId="16" fillId="3" borderId="28" xfId="0" applyFont="1" applyFill="1" applyBorder="1"/>
    <xf numFmtId="0" fontId="25" fillId="3" borderId="27" xfId="0" applyFont="1" applyFill="1" applyBorder="1" applyAlignment="1">
      <alignment horizontal="right"/>
    </xf>
    <xf numFmtId="44" fontId="16" fillId="3" borderId="28" xfId="0" applyNumberFormat="1" applyFont="1" applyFill="1" applyBorder="1"/>
    <xf numFmtId="0" fontId="16" fillId="3" borderId="29" xfId="0" applyFont="1" applyFill="1" applyBorder="1"/>
    <xf numFmtId="0" fontId="16" fillId="3" borderId="30" xfId="0" applyFont="1" applyFill="1" applyBorder="1"/>
    <xf numFmtId="0" fontId="16" fillId="3" borderId="31" xfId="0" applyFont="1" applyFill="1" applyBorder="1"/>
    <xf numFmtId="44" fontId="25" fillId="3" borderId="0" xfId="0" applyNumberFormat="1" applyFont="1" applyFill="1" applyBorder="1"/>
    <xf numFmtId="9" fontId="30" fillId="3" borderId="0" xfId="0" applyNumberFormat="1" applyFont="1" applyFill="1" applyBorder="1"/>
    <xf numFmtId="0" fontId="31" fillId="3" borderId="0" xfId="0" applyFont="1" applyFill="1" applyBorder="1"/>
    <xf numFmtId="44" fontId="30" fillId="3" borderId="0" xfId="0" applyNumberFormat="1" applyFont="1" applyFill="1" applyBorder="1"/>
    <xf numFmtId="0" fontId="18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 wrapText="1"/>
    </xf>
    <xf numFmtId="0" fontId="14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9" fillId="3" borderId="0" xfId="0" applyFont="1" applyFill="1" applyAlignment="1">
      <alignment horizontal="left"/>
    </xf>
    <xf numFmtId="0" fontId="8" fillId="3" borderId="0" xfId="0" applyFont="1" applyFill="1" applyAlignment="1">
      <alignment horizontal="right"/>
    </xf>
    <xf numFmtId="0" fontId="15" fillId="3" borderId="0" xfId="0" applyFont="1" applyFill="1" applyAlignment="1">
      <alignment horizontal="center"/>
    </xf>
    <xf numFmtId="0" fontId="13" fillId="3" borderId="0" xfId="0" applyFont="1" applyFill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14" fillId="3" borderId="7" xfId="0" applyFont="1" applyFill="1" applyBorder="1" applyAlignment="1">
      <alignment horizontal="left"/>
    </xf>
    <xf numFmtId="0" fontId="14" fillId="3" borderId="8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8" fillId="3" borderId="0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/>
    </xf>
    <xf numFmtId="0" fontId="20" fillId="3" borderId="28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/>
    </xf>
    <xf numFmtId="3" fontId="16" fillId="3" borderId="8" xfId="0" applyNumberFormat="1" applyFont="1" applyFill="1" applyBorder="1" applyAlignment="1" applyProtection="1">
      <alignment horizontal="center" wrapText="1"/>
      <protection locked="0"/>
    </xf>
    <xf numFmtId="0" fontId="16" fillId="3" borderId="8" xfId="0" applyFont="1" applyFill="1" applyBorder="1" applyAlignment="1" applyProtection="1">
      <alignment horizontal="center"/>
      <protection locked="0"/>
    </xf>
    <xf numFmtId="0" fontId="16" fillId="3" borderId="10" xfId="0" applyFont="1" applyFill="1" applyBorder="1" applyAlignment="1" applyProtection="1">
      <alignment horizontal="center"/>
      <protection locked="0"/>
    </xf>
    <xf numFmtId="164" fontId="16" fillId="3" borderId="10" xfId="0" applyNumberFormat="1" applyFont="1" applyFill="1" applyBorder="1" applyAlignment="1" applyProtection="1">
      <alignment horizontal="center"/>
      <protection locked="0"/>
    </xf>
    <xf numFmtId="164" fontId="16" fillId="3" borderId="8" xfId="0" applyNumberFormat="1" applyFont="1" applyFill="1" applyBorder="1" applyAlignment="1" applyProtection="1">
      <alignment horizontal="center"/>
      <protection locked="0"/>
    </xf>
    <xf numFmtId="3" fontId="16" fillId="3" borderId="10" xfId="0" applyNumberFormat="1" applyFont="1" applyFill="1" applyBorder="1" applyAlignment="1" applyProtection="1">
      <alignment horizontal="center"/>
      <protection locked="0"/>
    </xf>
    <xf numFmtId="9" fontId="16" fillId="3" borderId="8" xfId="0" applyNumberFormat="1" applyFont="1" applyFill="1" applyBorder="1" applyAlignment="1" applyProtection="1">
      <alignment horizontal="center"/>
      <protection locked="0"/>
    </xf>
    <xf numFmtId="9" fontId="16" fillId="3" borderId="10" xfId="0" applyNumberFormat="1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i="1" baseline="0">
                <a:latin typeface="Times New Roman" pitchFamily="18" charset="0"/>
                <a:cs typeface="Times New Roman" pitchFamily="18" charset="0"/>
              </a:rPr>
              <a:t>Total 3 Year Cost Comparison</a:t>
            </a:r>
            <a:endParaRPr lang="en-US" sz="1400" i="1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Results!$H$124</c:f>
              <c:strCache>
                <c:ptCount val="1"/>
                <c:pt idx="0">
                  <c:v>Conventional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6827166084758885E-3"/>
                  <c:y val="9.9043365847925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Results!$K$123</c:f>
              <c:strCache>
                <c:ptCount val="1"/>
                <c:pt idx="0">
                  <c:v>Total Costs</c:v>
                </c:pt>
              </c:strCache>
            </c:strRef>
          </c:cat>
          <c:val>
            <c:numRef>
              <c:f>Results!$K$124</c:f>
              <c:numCache>
                <c:formatCode>_("$"* #,##0_);_("$"* \(#,##0\);_("$"* "-"_);_(@_)</c:formatCode>
                <c:ptCount val="1"/>
                <c:pt idx="0">
                  <c:v>173736.9993688</c:v>
                </c:pt>
              </c:numCache>
            </c:numRef>
          </c:val>
        </c:ser>
        <c:ser>
          <c:idx val="1"/>
          <c:order val="1"/>
          <c:tx>
            <c:strRef>
              <c:f>Results!$H$125</c:f>
              <c:strCache>
                <c:ptCount val="1"/>
                <c:pt idx="0">
                  <c:v>GlossTek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7.4211502782931356E-3"/>
                  <c:y val="9.4068241469816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Results!$K$123</c:f>
              <c:strCache>
                <c:ptCount val="1"/>
                <c:pt idx="0">
                  <c:v>Total Costs</c:v>
                </c:pt>
              </c:strCache>
            </c:strRef>
          </c:cat>
          <c:val>
            <c:numRef>
              <c:f>Results!$K$125</c:f>
              <c:numCache>
                <c:formatCode>_("$"* #,##0_);_("$"* \(#,##0\);_("$"* "-"_);_(@_)</c:formatCode>
                <c:ptCount val="1"/>
                <c:pt idx="0">
                  <c:v>65310.833333333336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088704"/>
        <c:axId val="86090496"/>
      </c:barChart>
      <c:catAx>
        <c:axId val="86088704"/>
        <c:scaling>
          <c:orientation val="minMax"/>
        </c:scaling>
        <c:delete val="0"/>
        <c:axPos val="b"/>
        <c:majorTickMark val="none"/>
        <c:minorTickMark val="none"/>
        <c:tickLblPos val="nextTo"/>
        <c:crossAx val="86090496"/>
        <c:crosses val="autoZero"/>
        <c:auto val="1"/>
        <c:lblAlgn val="ctr"/>
        <c:lblOffset val="100"/>
        <c:noMultiLvlLbl val="0"/>
      </c:catAx>
      <c:valAx>
        <c:axId val="86090496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_);_(@_)" sourceLinked="1"/>
        <c:majorTickMark val="none"/>
        <c:minorTickMark val="none"/>
        <c:tickLblPos val="nextTo"/>
        <c:crossAx val="86088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Results!$B$30:$C$30</c:f>
              <c:strCache>
                <c:ptCount val="1"/>
                <c:pt idx="0">
                  <c:v>Conventional</c:v>
                </c:pt>
              </c:strCache>
            </c:strRef>
          </c:tx>
          <c:dLbls>
            <c:dLbl>
              <c:idx val="0"/>
              <c:layout>
                <c:manualLayout>
                  <c:x val="-2.5000000000000001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6666666666666666E-2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10277777777777777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8.3333333333333332E-3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Results!$D$29:$I$29</c:f>
              <c:strCache>
                <c:ptCount val="5"/>
                <c:pt idx="0">
                  <c:v>Labor</c:v>
                </c:pt>
                <c:pt idx="2">
                  <c:v>Materials</c:v>
                </c:pt>
                <c:pt idx="4">
                  <c:v>Total Costs</c:v>
                </c:pt>
              </c:strCache>
            </c:strRef>
          </c:cat>
          <c:val>
            <c:numRef>
              <c:f>Results!$D$30:$I$30</c:f>
              <c:numCache>
                <c:formatCode>General</c:formatCode>
                <c:ptCount val="6"/>
                <c:pt idx="0" formatCode="_(&quot;$&quot;* #,##0.00_);_(&quot;$&quot;* \(#,##0.00\);_(&quot;$&quot;* &quot;-&quot;??_);_(@_)">
                  <c:v>0.86861999368799991</c:v>
                </c:pt>
                <c:pt idx="2" formatCode="_(&quot;$&quot;* #,##0.00_);_(&quot;$&quot;* \(#,##0.00\);_(&quot;$&quot;* &quot;-&quot;??_);_(@_)">
                  <c:v>0.86875000000000002</c:v>
                </c:pt>
                <c:pt idx="4" formatCode="_(&quot;$&quot;* #,##0.00_);_(&quot;$&quot;* \(#,##0.00\);_(&quot;$&quot;* &quot;-&quot;??_);_(@_)">
                  <c:v>1.737369993688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Results!$B$31:$C$31</c:f>
              <c:strCache>
                <c:ptCount val="1"/>
                <c:pt idx="0">
                  <c:v>GlossTek</c:v>
                </c:pt>
              </c:strCache>
            </c:strRef>
          </c:tx>
          <c:dLbls>
            <c:dLbl>
              <c:idx val="0"/>
              <c:layout>
                <c:manualLayout>
                  <c:x val="-6.6666666666666666E-2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111111111111108E-2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6666666666666666E-2"/>
                  <c:y val="9.25925925925917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1666666666666664E-2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4444444444444446E-2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6666666666666666E-2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Results!$D$29:$I$29</c:f>
              <c:strCache>
                <c:ptCount val="5"/>
                <c:pt idx="0">
                  <c:v>Labor</c:v>
                </c:pt>
                <c:pt idx="2">
                  <c:v>Materials</c:v>
                </c:pt>
                <c:pt idx="4">
                  <c:v>Total Costs</c:v>
                </c:pt>
              </c:strCache>
            </c:strRef>
          </c:cat>
          <c:val>
            <c:numRef>
              <c:f>Results!$D$31:$I$31</c:f>
              <c:numCache>
                <c:formatCode>General</c:formatCode>
                <c:ptCount val="6"/>
                <c:pt idx="0" formatCode="_(&quot;$&quot;* #,##0.00_);_(&quot;$&quot;* \(#,##0.00\);_(&quot;$&quot;* &quot;-&quot;??_);_(@_)">
                  <c:v>4.0500000000000001E-2</c:v>
                </c:pt>
                <c:pt idx="2" formatCode="_(&quot;$&quot;* #,##0.00_);_(&quot;$&quot;* \(#,##0.00\);_(&quot;$&quot;* &quot;-&quot;??_);_(@_)">
                  <c:v>0.61260833333333331</c:v>
                </c:pt>
                <c:pt idx="4" formatCode="_(&quot;$&quot;* #,##0.00_);_(&quot;$&quot;* \(#,##0.00\);_(&quot;$&quot;* &quot;-&quot;??_);_(@_)">
                  <c:v>0.6531083333333334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12480"/>
        <c:axId val="89026560"/>
      </c:lineChart>
      <c:catAx>
        <c:axId val="89012480"/>
        <c:scaling>
          <c:orientation val="minMax"/>
        </c:scaling>
        <c:delete val="0"/>
        <c:axPos val="b"/>
        <c:majorTickMark val="out"/>
        <c:minorTickMark val="none"/>
        <c:tickLblPos val="nextTo"/>
        <c:crossAx val="89026560"/>
        <c:crosses val="autoZero"/>
        <c:auto val="1"/>
        <c:lblAlgn val="ctr"/>
        <c:lblOffset val="100"/>
        <c:noMultiLvlLbl val="0"/>
      </c:catAx>
      <c:valAx>
        <c:axId val="89026560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89012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037401574803153"/>
          <c:y val="0.68017169728783899"/>
          <c:w val="0.23295931758530183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Results!$H$133</c:f>
              <c:strCache>
                <c:ptCount val="1"/>
                <c:pt idx="0">
                  <c:v>Conventional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Results!$I$132:$K$132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Results!$I$133:$K$133</c:f>
              <c:numCache>
                <c:formatCode>_("$"* #,##0.00_);_("$"* \(#,##0.00\);_("$"* "-"??_);_(@_)</c:formatCode>
                <c:ptCount val="3"/>
                <c:pt idx="0">
                  <c:v>0.57912333122933335</c:v>
                </c:pt>
                <c:pt idx="1">
                  <c:v>1.1582466624586667</c:v>
                </c:pt>
                <c:pt idx="2">
                  <c:v>1.737369993688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Results!$H$134</c:f>
              <c:strCache>
                <c:ptCount val="1"/>
                <c:pt idx="0">
                  <c:v>GlossTek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Results!$I$132:$K$132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Results!$I$134:$K$134</c:f>
              <c:numCache>
                <c:formatCode>_("$"* #,##0.00_);_("$"* \(#,##0.00\);_("$"* "-"??_);_(@_)</c:formatCode>
                <c:ptCount val="3"/>
                <c:pt idx="0">
                  <c:v>0.62258333333333338</c:v>
                </c:pt>
                <c:pt idx="1">
                  <c:v>0.63784583333333333</c:v>
                </c:pt>
                <c:pt idx="2">
                  <c:v>0.65310833333333329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75296"/>
        <c:axId val="90376832"/>
      </c:lineChart>
      <c:catAx>
        <c:axId val="90375296"/>
        <c:scaling>
          <c:orientation val="minMax"/>
        </c:scaling>
        <c:delete val="0"/>
        <c:axPos val="b"/>
        <c:majorTickMark val="out"/>
        <c:minorTickMark val="none"/>
        <c:tickLblPos val="nextTo"/>
        <c:crossAx val="90376832"/>
        <c:crosses val="autoZero"/>
        <c:auto val="1"/>
        <c:lblAlgn val="ctr"/>
        <c:lblOffset val="100"/>
        <c:noMultiLvlLbl val="0"/>
      </c:catAx>
      <c:valAx>
        <c:axId val="90376832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90375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Results!A1"/><Relationship Id="rId2" Type="http://schemas.openxmlformats.org/officeDocument/2006/relationships/hyperlink" Target="#Assumptions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Variables!A1"/><Relationship Id="rId1" Type="http://schemas.openxmlformats.org/officeDocument/2006/relationships/hyperlink" Target="#Results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jpe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1800225</xdr:colOff>
      <xdr:row>0</xdr:row>
      <xdr:rowOff>66675</xdr:rowOff>
    </xdr:from>
    <xdr:to>
      <xdr:col>0</xdr:col>
      <xdr:colOff>3771900</xdr:colOff>
      <xdr:row>6</xdr:row>
      <xdr:rowOff>144536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0225" y="66675"/>
          <a:ext cx="1971675" cy="1220861"/>
        </a:xfrm>
        <a:prstGeom prst="rect">
          <a:avLst/>
        </a:prstGeom>
      </xdr:spPr>
    </xdr:pic>
    <xdr:clientData/>
  </xdr:twoCellAnchor>
  <xdr:twoCellAnchor>
    <xdr:from>
      <xdr:col>0</xdr:col>
      <xdr:colOff>1304925</xdr:colOff>
      <xdr:row>32</xdr:row>
      <xdr:rowOff>104775</xdr:rowOff>
    </xdr:from>
    <xdr:to>
      <xdr:col>0</xdr:col>
      <xdr:colOff>1685925</xdr:colOff>
      <xdr:row>34</xdr:row>
      <xdr:rowOff>9525</xdr:rowOff>
    </xdr:to>
    <xdr:sp macro="" textlink="">
      <xdr:nvSpPr>
        <xdr:cNvPr id="3" name="Right Arrow 2">
          <a:hlinkClick xmlns:r="http://schemas.openxmlformats.org/officeDocument/2006/relationships" r:id="rId2"/>
        </xdr:cNvPr>
        <xdr:cNvSpPr/>
      </xdr:nvSpPr>
      <xdr:spPr>
        <a:xfrm>
          <a:off x="1304925" y="8934450"/>
          <a:ext cx="381000" cy="28575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638176</xdr:colOff>
      <xdr:row>34</xdr:row>
      <xdr:rowOff>9526</xdr:rowOff>
    </xdr:from>
    <xdr:to>
      <xdr:col>0</xdr:col>
      <xdr:colOff>2352676</xdr:colOff>
      <xdr:row>35</xdr:row>
      <xdr:rowOff>85726</xdr:rowOff>
    </xdr:to>
    <xdr:sp macro="" textlink="">
      <xdr:nvSpPr>
        <xdr:cNvPr id="4" name="TextBox 3"/>
        <xdr:cNvSpPr txBox="1"/>
      </xdr:nvSpPr>
      <xdr:spPr>
        <a:xfrm>
          <a:off x="638176" y="9220201"/>
          <a:ext cx="17145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Proceed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 to Assumptions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3181350</xdr:colOff>
      <xdr:row>34</xdr:row>
      <xdr:rowOff>0</xdr:rowOff>
    </xdr:from>
    <xdr:to>
      <xdr:col>1</xdr:col>
      <xdr:colOff>390524</xdr:colOff>
      <xdr:row>35</xdr:row>
      <xdr:rowOff>85726</xdr:rowOff>
    </xdr:to>
    <xdr:sp macro="" textlink="">
      <xdr:nvSpPr>
        <xdr:cNvPr id="5" name="TextBox 4"/>
        <xdr:cNvSpPr txBox="1"/>
      </xdr:nvSpPr>
      <xdr:spPr>
        <a:xfrm>
          <a:off x="3181350" y="9210675"/>
          <a:ext cx="1504949" cy="276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Skip 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to Results Page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3762375</xdr:colOff>
      <xdr:row>32</xdr:row>
      <xdr:rowOff>95250</xdr:rowOff>
    </xdr:from>
    <xdr:to>
      <xdr:col>0</xdr:col>
      <xdr:colOff>4143375</xdr:colOff>
      <xdr:row>34</xdr:row>
      <xdr:rowOff>0</xdr:rowOff>
    </xdr:to>
    <xdr:sp macro="" textlink="">
      <xdr:nvSpPr>
        <xdr:cNvPr id="6" name="Right Arrow 5">
          <a:hlinkClick xmlns:r="http://schemas.openxmlformats.org/officeDocument/2006/relationships" r:id="rId3"/>
        </xdr:cNvPr>
        <xdr:cNvSpPr/>
      </xdr:nvSpPr>
      <xdr:spPr>
        <a:xfrm>
          <a:off x="3762375" y="8924925"/>
          <a:ext cx="381000" cy="28575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257176</xdr:colOff>
      <xdr:row>32</xdr:row>
      <xdr:rowOff>247650</xdr:rowOff>
    </xdr:from>
    <xdr:to>
      <xdr:col>9</xdr:col>
      <xdr:colOff>180976</xdr:colOff>
      <xdr:row>33</xdr:row>
      <xdr:rowOff>9525</xdr:rowOff>
    </xdr:to>
    <xdr:sp macro="" textlink="">
      <xdr:nvSpPr>
        <xdr:cNvPr id="4" name="TextBox 3"/>
        <xdr:cNvSpPr txBox="1"/>
      </xdr:nvSpPr>
      <xdr:spPr>
        <a:xfrm>
          <a:off x="5962651" y="5695950"/>
          <a:ext cx="13335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/>
            <a:t>Proceed</a:t>
          </a:r>
          <a:r>
            <a:rPr lang="en-US" sz="900" baseline="0"/>
            <a:t> to Results Page</a:t>
          </a:r>
          <a:endParaRPr lang="en-US" sz="900"/>
        </a:p>
      </xdr:txBody>
    </xdr:sp>
    <xdr:clientData/>
  </xdr:twoCellAnchor>
  <xdr:twoCellAnchor>
    <xdr:from>
      <xdr:col>8</xdr:col>
      <xdr:colOff>47625</xdr:colOff>
      <xdr:row>32</xdr:row>
      <xdr:rowOff>9525</xdr:rowOff>
    </xdr:from>
    <xdr:to>
      <xdr:col>8</xdr:col>
      <xdr:colOff>428625</xdr:colOff>
      <xdr:row>32</xdr:row>
      <xdr:rowOff>295275</xdr:rowOff>
    </xdr:to>
    <xdr:sp macro="" textlink="">
      <xdr:nvSpPr>
        <xdr:cNvPr id="5" name="Right Arrow 4">
          <a:hlinkClick xmlns:r="http://schemas.openxmlformats.org/officeDocument/2006/relationships" r:id="rId1"/>
        </xdr:cNvPr>
        <xdr:cNvSpPr/>
      </xdr:nvSpPr>
      <xdr:spPr>
        <a:xfrm>
          <a:off x="6457950" y="5457825"/>
          <a:ext cx="381000" cy="28575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238125</xdr:colOff>
      <xdr:row>35</xdr:row>
      <xdr:rowOff>114299</xdr:rowOff>
    </xdr:from>
    <xdr:to>
      <xdr:col>9</xdr:col>
      <xdr:colOff>171450</xdr:colOff>
      <xdr:row>37</xdr:row>
      <xdr:rowOff>28574</xdr:rowOff>
    </xdr:to>
    <xdr:sp macro="" textlink="">
      <xdr:nvSpPr>
        <xdr:cNvPr id="6" name="TextBox 5"/>
        <xdr:cNvSpPr txBox="1"/>
      </xdr:nvSpPr>
      <xdr:spPr>
        <a:xfrm>
          <a:off x="5943600" y="6381749"/>
          <a:ext cx="13430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/>
            <a:t>Go Back to</a:t>
          </a:r>
          <a:r>
            <a:rPr lang="en-US" sz="900" baseline="0"/>
            <a:t> Variables</a:t>
          </a:r>
          <a:endParaRPr lang="en-US" sz="900"/>
        </a:p>
      </xdr:txBody>
    </xdr:sp>
    <xdr:clientData/>
  </xdr:twoCellAnchor>
  <xdr:twoCellAnchor>
    <xdr:from>
      <xdr:col>8</xdr:col>
      <xdr:colOff>9525</xdr:colOff>
      <xdr:row>34</xdr:row>
      <xdr:rowOff>9526</xdr:rowOff>
    </xdr:from>
    <xdr:to>
      <xdr:col>8</xdr:col>
      <xdr:colOff>371475</xdr:colOff>
      <xdr:row>35</xdr:row>
      <xdr:rowOff>114301</xdr:rowOff>
    </xdr:to>
    <xdr:sp macro="" textlink="">
      <xdr:nvSpPr>
        <xdr:cNvPr id="7" name="Left Arrow 6">
          <a:hlinkClick xmlns:r="http://schemas.openxmlformats.org/officeDocument/2006/relationships" r:id="rId2"/>
        </xdr:cNvPr>
        <xdr:cNvSpPr/>
      </xdr:nvSpPr>
      <xdr:spPr>
        <a:xfrm>
          <a:off x="6419850" y="6115051"/>
          <a:ext cx="361950" cy="266700"/>
        </a:xfrm>
        <a:prstGeom prst="lef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409576</xdr:colOff>
      <xdr:row>0</xdr:row>
      <xdr:rowOff>114300</xdr:rowOff>
    </xdr:from>
    <xdr:to>
      <xdr:col>3</xdr:col>
      <xdr:colOff>600076</xdr:colOff>
      <xdr:row>5</xdr:row>
      <xdr:rowOff>19050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6" y="114300"/>
          <a:ext cx="1524000" cy="866775"/>
        </a:xfrm>
        <a:prstGeom prst="rect">
          <a:avLst/>
        </a:prstGeom>
      </xdr:spPr>
    </xdr:pic>
    <xdr:clientData/>
  </xdr:twoCellAnchor>
  <xdr:twoCellAnchor>
    <xdr:from>
      <xdr:col>1</xdr:col>
      <xdr:colOff>66675</xdr:colOff>
      <xdr:row>12</xdr:row>
      <xdr:rowOff>123825</xdr:rowOff>
    </xdr:from>
    <xdr:to>
      <xdr:col>8</xdr:col>
      <xdr:colOff>533400</xdr:colOff>
      <xdr:row>26</xdr:row>
      <xdr:rowOff>19050</xdr:rowOff>
    </xdr:to>
    <xdr:graphicFrame macro="">
      <xdr:nvGraphicFramePr>
        <xdr:cNvPr id="9" name="Chart 8" title="Conventional vs. GlossTek Total Cost Comparison Over 6 Year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476250</xdr:colOff>
      <xdr:row>107</xdr:row>
      <xdr:rowOff>33337</xdr:rowOff>
    </xdr:from>
    <xdr:to>
      <xdr:col>8</xdr:col>
      <xdr:colOff>171450</xdr:colOff>
      <xdr:row>121</xdr:row>
      <xdr:rowOff>109537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104775</xdr:colOff>
      <xdr:row>135</xdr:row>
      <xdr:rowOff>52387</xdr:rowOff>
    </xdr:from>
    <xdr:to>
      <xdr:col>12</xdr:col>
      <xdr:colOff>314325</xdr:colOff>
      <xdr:row>149</xdr:row>
      <xdr:rowOff>128587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J37"/>
  <sheetViews>
    <sheetView tabSelected="1" workbookViewId="0">
      <selection activeCell="A2" sqref="A2"/>
    </sheetView>
  </sheetViews>
  <sheetFormatPr defaultRowHeight="15" x14ac:dyDescent="0.25"/>
  <cols>
    <col min="1" max="1" width="64.42578125" style="71" customWidth="1"/>
    <col min="2" max="16384" width="9.140625" style="71"/>
  </cols>
  <sheetData>
    <row r="8" spans="1:3" ht="18.75" x14ac:dyDescent="0.3">
      <c r="A8" s="141" t="s">
        <v>55</v>
      </c>
      <c r="B8" s="141"/>
      <c r="C8" s="141"/>
    </row>
    <row r="9" spans="1:3" ht="7.5" customHeight="1" x14ac:dyDescent="0.25"/>
    <row r="10" spans="1:3" ht="7.5" customHeight="1" x14ac:dyDescent="0.25"/>
    <row r="11" spans="1:3" ht="30" customHeight="1" x14ac:dyDescent="0.25">
      <c r="A11" s="142" t="s">
        <v>56</v>
      </c>
      <c r="B11" s="142"/>
      <c r="C11" s="142"/>
    </row>
    <row r="12" spans="1:3" ht="9.75" customHeight="1" x14ac:dyDescent="0.25">
      <c r="A12" s="72"/>
      <c r="B12" s="72"/>
      <c r="C12" s="72"/>
    </row>
    <row r="13" spans="1:3" ht="30" customHeight="1" x14ac:dyDescent="0.25">
      <c r="A13" s="76" t="s">
        <v>67</v>
      </c>
      <c r="B13" s="167">
        <v>100000</v>
      </c>
      <c r="C13" s="167"/>
    </row>
    <row r="14" spans="1:3" ht="21" customHeight="1" x14ac:dyDescent="0.25">
      <c r="A14" s="72"/>
      <c r="B14" s="72"/>
      <c r="C14" s="72"/>
    </row>
    <row r="15" spans="1:3" ht="19.5" x14ac:dyDescent="0.35">
      <c r="A15" s="110" t="s">
        <v>63</v>
      </c>
      <c r="B15" s="72"/>
      <c r="C15" s="72"/>
    </row>
    <row r="16" spans="1:3" ht="30.75" customHeight="1" x14ac:dyDescent="0.25">
      <c r="A16" s="73" t="s">
        <v>68</v>
      </c>
      <c r="B16" s="168">
        <v>2</v>
      </c>
      <c r="C16" s="168"/>
    </row>
    <row r="17" spans="1:3" ht="30.75" customHeight="1" x14ac:dyDescent="0.25">
      <c r="A17" s="73" t="s">
        <v>69</v>
      </c>
      <c r="B17" s="169">
        <v>4</v>
      </c>
      <c r="C17" s="169"/>
    </row>
    <row r="18" spans="1:3" ht="30.75" customHeight="1" x14ac:dyDescent="0.25">
      <c r="A18" s="73" t="s">
        <v>70</v>
      </c>
      <c r="B18" s="169">
        <v>1</v>
      </c>
      <c r="C18" s="169"/>
    </row>
    <row r="19" spans="1:3" ht="30.75" customHeight="1" x14ac:dyDescent="0.25">
      <c r="A19" s="73" t="s">
        <v>72</v>
      </c>
      <c r="B19" s="170">
        <v>25</v>
      </c>
      <c r="C19" s="170"/>
    </row>
    <row r="20" spans="1:3" ht="30.75" customHeight="1" x14ac:dyDescent="0.25">
      <c r="A20" s="73" t="s">
        <v>73</v>
      </c>
      <c r="B20" s="170">
        <v>30</v>
      </c>
      <c r="C20" s="170"/>
    </row>
    <row r="21" spans="1:3" ht="21" customHeight="1" x14ac:dyDescent="0.25">
      <c r="A21" s="73"/>
      <c r="B21" s="108"/>
      <c r="C21" s="108"/>
    </row>
    <row r="22" spans="1:3" ht="19.5" x14ac:dyDescent="0.35">
      <c r="A22" s="111" t="s">
        <v>108</v>
      </c>
      <c r="B22" s="109"/>
      <c r="C22" s="109"/>
    </row>
    <row r="23" spans="1:3" ht="30.75" customHeight="1" x14ac:dyDescent="0.25">
      <c r="A23" s="73" t="s">
        <v>71</v>
      </c>
      <c r="B23" s="171">
        <v>15</v>
      </c>
      <c r="C23" s="171"/>
    </row>
    <row r="24" spans="1:3" ht="21" customHeight="1" x14ac:dyDescent="0.25">
      <c r="A24" s="73"/>
      <c r="B24" s="74"/>
      <c r="C24" s="74"/>
    </row>
    <row r="25" spans="1:3" ht="19.5" x14ac:dyDescent="0.35">
      <c r="A25" s="110" t="s">
        <v>64</v>
      </c>
      <c r="B25" s="75"/>
      <c r="C25" s="75"/>
    </row>
    <row r="26" spans="1:3" ht="30" customHeight="1" x14ac:dyDescent="0.25">
      <c r="A26" s="73" t="s">
        <v>74</v>
      </c>
      <c r="B26" s="171">
        <v>225</v>
      </c>
      <c r="C26" s="171"/>
    </row>
    <row r="27" spans="1:3" ht="30" customHeight="1" x14ac:dyDescent="0.25">
      <c r="A27" s="73" t="s">
        <v>75</v>
      </c>
      <c r="B27" s="172">
        <v>400</v>
      </c>
      <c r="C27" s="172"/>
    </row>
    <row r="28" spans="1:3" ht="30.75" customHeight="1" x14ac:dyDescent="0.25">
      <c r="A28" s="76" t="s">
        <v>76</v>
      </c>
      <c r="B28" s="173">
        <v>0</v>
      </c>
      <c r="C28" s="173"/>
    </row>
    <row r="29" spans="1:3" ht="30.75" customHeight="1" x14ac:dyDescent="0.25">
      <c r="A29" s="76" t="s">
        <v>77</v>
      </c>
      <c r="B29" s="174">
        <v>0.05</v>
      </c>
      <c r="C29" s="174"/>
    </row>
    <row r="30" spans="1:3" ht="30.75" customHeight="1" x14ac:dyDescent="0.25">
      <c r="A30" s="73" t="s">
        <v>78</v>
      </c>
      <c r="B30" s="174">
        <v>0</v>
      </c>
      <c r="C30" s="174"/>
    </row>
    <row r="31" spans="1:3" ht="30.75" customHeight="1" x14ac:dyDescent="0.25">
      <c r="A31" s="73" t="s">
        <v>79</v>
      </c>
      <c r="B31" s="174">
        <v>0.95</v>
      </c>
      <c r="C31" s="174"/>
    </row>
    <row r="37" spans="1:10" x14ac:dyDescent="0.25">
      <c r="A37" s="143" t="s">
        <v>95</v>
      </c>
      <c r="B37" s="143"/>
      <c r="C37" s="143"/>
      <c r="D37" s="81"/>
      <c r="E37" s="81"/>
      <c r="F37" s="81"/>
      <c r="G37" s="81"/>
      <c r="H37" s="81"/>
      <c r="I37" s="81"/>
      <c r="J37" s="81"/>
    </row>
  </sheetData>
  <sheetProtection password="F65D" sheet="1" objects="1" scenarios="1"/>
  <mergeCells count="16">
    <mergeCell ref="A37:C37"/>
    <mergeCell ref="B29:C29"/>
    <mergeCell ref="B30:C30"/>
    <mergeCell ref="B31:C31"/>
    <mergeCell ref="B26:C26"/>
    <mergeCell ref="B27:C27"/>
    <mergeCell ref="B19:C19"/>
    <mergeCell ref="B20:C20"/>
    <mergeCell ref="A8:C8"/>
    <mergeCell ref="A11:C11"/>
    <mergeCell ref="B28:C28"/>
    <mergeCell ref="B16:C16"/>
    <mergeCell ref="B17:C17"/>
    <mergeCell ref="B18:C18"/>
    <mergeCell ref="B23:C23"/>
    <mergeCell ref="B13:C13"/>
  </mergeCells>
  <printOptions horizontalCentered="1"/>
  <pageMargins left="0.45" right="0.45" top="0.25" bottom="0.25" header="0.3" footer="0.3"/>
  <pageSetup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workbookViewId="0">
      <selection activeCell="E11" sqref="E11"/>
    </sheetView>
  </sheetViews>
  <sheetFormatPr defaultRowHeight="12.75" x14ac:dyDescent="0.2"/>
  <cols>
    <col min="1" max="1" width="2.7109375" style="27" customWidth="1"/>
    <col min="2" max="2" width="38.85546875" style="27" customWidth="1"/>
    <col min="3" max="3" width="1.7109375" style="27" customWidth="1"/>
    <col min="4" max="10" width="10.5703125" style="27" customWidth="1"/>
    <col min="11" max="16384" width="9.140625" style="27"/>
  </cols>
  <sheetData>
    <row r="1" spans="1:10" ht="15.75" x14ac:dyDescent="0.25">
      <c r="A1" s="147" t="s">
        <v>53</v>
      </c>
      <c r="B1" s="147"/>
      <c r="C1" s="147"/>
      <c r="D1" s="147"/>
      <c r="E1" s="147"/>
      <c r="F1" s="147"/>
      <c r="G1" s="147"/>
      <c r="H1" s="147"/>
      <c r="I1" s="147"/>
      <c r="J1" s="147"/>
    </row>
    <row r="3" spans="1:10" ht="13.5" thickBot="1" x14ac:dyDescent="0.25"/>
    <row r="4" spans="1:10" ht="13.5" thickBot="1" x14ac:dyDescent="0.25">
      <c r="A4" s="146" t="s">
        <v>44</v>
      </c>
      <c r="B4" s="146"/>
      <c r="D4" s="65">
        <f>Variables!B13</f>
        <v>100000</v>
      </c>
    </row>
    <row r="6" spans="1:10" x14ac:dyDescent="0.2">
      <c r="D6" s="28" t="s">
        <v>7</v>
      </c>
      <c r="E6" s="28" t="s">
        <v>8</v>
      </c>
      <c r="F6" s="28" t="s">
        <v>9</v>
      </c>
      <c r="G6" s="28" t="s">
        <v>10</v>
      </c>
      <c r="H6" s="28" t="s">
        <v>11</v>
      </c>
      <c r="I6" s="28" t="s">
        <v>12</v>
      </c>
      <c r="J6" s="28" t="s">
        <v>14</v>
      </c>
    </row>
    <row r="7" spans="1:10" ht="13.5" thickBot="1" x14ac:dyDescent="0.25">
      <c r="A7" s="145" t="s">
        <v>18</v>
      </c>
      <c r="B7" s="145"/>
      <c r="C7" s="35"/>
      <c r="D7" s="29"/>
    </row>
    <row r="8" spans="1:10" ht="13.5" thickBot="1" x14ac:dyDescent="0.25">
      <c r="B8" s="34" t="s">
        <v>45</v>
      </c>
      <c r="C8" s="34"/>
      <c r="D8" s="31">
        <f>Variables!$B$16*52</f>
        <v>104</v>
      </c>
      <c r="E8" s="31">
        <f>Variables!$B$16*52</f>
        <v>104</v>
      </c>
      <c r="F8" s="31">
        <f>Variables!$B$16*52</f>
        <v>104</v>
      </c>
      <c r="G8" s="31">
        <f>Variables!$B$16*52</f>
        <v>104</v>
      </c>
      <c r="H8" s="31">
        <f>Variables!$B$16*52</f>
        <v>104</v>
      </c>
      <c r="I8" s="31">
        <f>Variables!$B$16*52</f>
        <v>104</v>
      </c>
      <c r="J8" s="31">
        <f>SUM(D8:I8)</f>
        <v>624</v>
      </c>
    </row>
    <row r="9" spans="1:10" ht="13.5" thickBot="1" x14ac:dyDescent="0.25">
      <c r="B9" s="34" t="s">
        <v>46</v>
      </c>
      <c r="C9" s="34"/>
      <c r="D9" s="31">
        <f>Variables!$B$17</f>
        <v>4</v>
      </c>
      <c r="E9" s="31">
        <f>Variables!$B$17</f>
        <v>4</v>
      </c>
      <c r="F9" s="31">
        <f>Variables!$B$17</f>
        <v>4</v>
      </c>
      <c r="G9" s="31">
        <f>Variables!$B$17</f>
        <v>4</v>
      </c>
      <c r="H9" s="31">
        <f>Variables!$B$17</f>
        <v>4</v>
      </c>
      <c r="I9" s="31">
        <f>Variables!$B$17</f>
        <v>4</v>
      </c>
      <c r="J9" s="31">
        <f>SUM(D9:I9)</f>
        <v>24</v>
      </c>
    </row>
    <row r="10" spans="1:10" ht="13.5" thickBot="1" x14ac:dyDescent="0.25">
      <c r="B10" s="34" t="s">
        <v>47</v>
      </c>
      <c r="C10" s="34"/>
      <c r="D10" s="32">
        <v>0</v>
      </c>
      <c r="E10" s="31">
        <f>Variables!$B$18</f>
        <v>1</v>
      </c>
      <c r="F10" s="31">
        <f>Variables!$B$18</f>
        <v>1</v>
      </c>
      <c r="G10" s="31">
        <f>Variables!$B$18</f>
        <v>1</v>
      </c>
      <c r="H10" s="31">
        <f>Variables!$B$18</f>
        <v>1</v>
      </c>
      <c r="I10" s="31">
        <f>Variables!$B$18</f>
        <v>1</v>
      </c>
      <c r="J10" s="31">
        <f>SUM(D10:I10)</f>
        <v>5</v>
      </c>
    </row>
    <row r="11" spans="1:10" ht="13.5" thickBot="1" x14ac:dyDescent="0.25">
      <c r="B11" s="34" t="s">
        <v>57</v>
      </c>
      <c r="C11" s="34"/>
      <c r="D11" s="68">
        <v>1</v>
      </c>
      <c r="E11" s="30"/>
      <c r="F11" s="30"/>
      <c r="G11" s="30"/>
      <c r="H11" s="30"/>
      <c r="I11" s="30"/>
      <c r="J11" s="30"/>
    </row>
    <row r="12" spans="1:10" ht="13.5" thickBot="1" x14ac:dyDescent="0.25">
      <c r="B12" s="34" t="s">
        <v>48</v>
      </c>
      <c r="C12" s="34"/>
      <c r="D12" s="67">
        <f>Variables!B23</f>
        <v>15</v>
      </c>
    </row>
    <row r="13" spans="1:10" ht="13.5" thickBot="1" x14ac:dyDescent="0.25">
      <c r="B13" s="34" t="s">
        <v>49</v>
      </c>
      <c r="C13" s="34"/>
      <c r="D13" s="33">
        <f>Variables!B19</f>
        <v>25</v>
      </c>
    </row>
    <row r="14" spans="1:10" ht="13.5" thickBot="1" x14ac:dyDescent="0.25">
      <c r="B14" s="34" t="s">
        <v>50</v>
      </c>
      <c r="C14" s="34"/>
      <c r="D14" s="33">
        <f>Variables!B20</f>
        <v>30</v>
      </c>
    </row>
    <row r="15" spans="1:10" x14ac:dyDescent="0.2">
      <c r="B15" s="34"/>
      <c r="C15" s="34"/>
      <c r="D15" s="66"/>
    </row>
    <row r="16" spans="1:10" x14ac:dyDescent="0.2">
      <c r="B16" s="34"/>
      <c r="C16" s="34"/>
      <c r="D16" s="66"/>
    </row>
    <row r="17" spans="1:10" x14ac:dyDescent="0.2">
      <c r="D17" s="28" t="s">
        <v>7</v>
      </c>
      <c r="E17" s="28" t="s">
        <v>8</v>
      </c>
      <c r="F17" s="28" t="s">
        <v>9</v>
      </c>
      <c r="G17" s="28" t="s">
        <v>10</v>
      </c>
      <c r="H17" s="28" t="s">
        <v>11</v>
      </c>
      <c r="I17" s="28" t="s">
        <v>12</v>
      </c>
      <c r="J17" s="28" t="s">
        <v>14</v>
      </c>
    </row>
    <row r="18" spans="1:10" ht="13.5" thickBot="1" x14ac:dyDescent="0.25">
      <c r="A18" s="145" t="s">
        <v>54</v>
      </c>
      <c r="B18" s="145"/>
      <c r="C18" s="35"/>
    </row>
    <row r="19" spans="1:10" ht="13.5" thickBot="1" x14ac:dyDescent="0.25">
      <c r="A19" s="35"/>
      <c r="B19" s="64" t="s">
        <v>84</v>
      </c>
      <c r="C19" s="35"/>
      <c r="D19" s="65">
        <f>(Variables!B28*Variables!B13)+(Variables!B29*Variables!B13)+(Variables!B30*Variables!B13)+(Variables!B31*Variables!B13)</f>
        <v>100000</v>
      </c>
      <c r="E19" s="68"/>
      <c r="F19" s="68"/>
      <c r="G19" s="68"/>
      <c r="H19" s="68"/>
      <c r="I19" s="68"/>
      <c r="J19" s="65">
        <f>SUM(D19:I19)</f>
        <v>100000</v>
      </c>
    </row>
    <row r="20" spans="1:10" ht="13.5" thickBot="1" x14ac:dyDescent="0.25">
      <c r="A20" s="35"/>
      <c r="B20" s="64" t="s">
        <v>80</v>
      </c>
      <c r="C20" s="35"/>
      <c r="D20" s="77"/>
      <c r="E20" s="65">
        <f>Variables!$B$28*Variables!$B$13</f>
        <v>0</v>
      </c>
      <c r="F20" s="65">
        <f>Variables!$B$28*Variables!$B$13</f>
        <v>0</v>
      </c>
      <c r="G20" s="65">
        <f>Variables!$B$28*Variables!$B$13</f>
        <v>0</v>
      </c>
      <c r="H20" s="65">
        <f>Variables!$B$28*Variables!$B$13</f>
        <v>0</v>
      </c>
      <c r="I20" s="65">
        <f>Variables!$B$28*Variables!$B$13</f>
        <v>0</v>
      </c>
      <c r="J20" s="65">
        <f>SUM(D20:I20)</f>
        <v>0</v>
      </c>
    </row>
    <row r="21" spans="1:10" ht="13.5" thickBot="1" x14ac:dyDescent="0.25">
      <c r="A21" s="35"/>
      <c r="B21" s="64" t="s">
        <v>81</v>
      </c>
      <c r="C21" s="35"/>
      <c r="D21" s="77"/>
      <c r="E21" s="65">
        <f>(Variables!$B$29*Variables!$B$13)*0.5</f>
        <v>2500</v>
      </c>
      <c r="F21" s="65">
        <f>(Variables!$B$29*Variables!$B$13)*0.5</f>
        <v>2500</v>
      </c>
      <c r="G21" s="65"/>
      <c r="H21" s="65">
        <f>(Variables!$B$29*Variables!$B$13)*0.5</f>
        <v>2500</v>
      </c>
      <c r="I21" s="65">
        <f>(Variables!$B$29*Variables!$B$13)*0.5</f>
        <v>2500</v>
      </c>
      <c r="J21" s="65">
        <f>SUM(D21:I21)</f>
        <v>10000</v>
      </c>
    </row>
    <row r="22" spans="1:10" ht="13.5" thickBot="1" x14ac:dyDescent="0.25">
      <c r="A22" s="35"/>
      <c r="B22" s="64" t="s">
        <v>82</v>
      </c>
      <c r="C22" s="35"/>
      <c r="D22" s="77"/>
      <c r="E22" s="65"/>
      <c r="F22" s="65">
        <f>Variables!B30*Variables!B13</f>
        <v>0</v>
      </c>
      <c r="G22" s="65"/>
      <c r="H22" s="65">
        <f>Variables!B30*Variables!B13</f>
        <v>0</v>
      </c>
      <c r="I22" s="65"/>
      <c r="J22" s="65">
        <f>SUM(D22:I22)</f>
        <v>0</v>
      </c>
    </row>
    <row r="23" spans="1:10" ht="13.5" thickBot="1" x14ac:dyDescent="0.25">
      <c r="A23" s="35"/>
      <c r="B23" s="64" t="s">
        <v>83</v>
      </c>
      <c r="C23" s="35"/>
      <c r="D23" s="77"/>
      <c r="E23" s="65"/>
      <c r="F23" s="65"/>
      <c r="G23" s="65">
        <f>Variables!B31*Variables!B13</f>
        <v>95000</v>
      </c>
      <c r="H23" s="65"/>
      <c r="I23" s="65"/>
      <c r="J23" s="65">
        <f>SUM(D23:I23)</f>
        <v>95000</v>
      </c>
    </row>
    <row r="24" spans="1:10" ht="13.5" thickBot="1" x14ac:dyDescent="0.25">
      <c r="A24" s="35"/>
      <c r="B24" s="64" t="s">
        <v>19</v>
      </c>
      <c r="C24" s="35"/>
      <c r="D24" s="33">
        <f>Variables!B26</f>
        <v>225</v>
      </c>
      <c r="E24" s="30"/>
      <c r="F24" s="30"/>
      <c r="G24" s="30"/>
      <c r="H24" s="30"/>
      <c r="I24" s="30"/>
      <c r="J24" s="98"/>
    </row>
    <row r="25" spans="1:10" ht="13.5" thickBot="1" x14ac:dyDescent="0.25">
      <c r="A25" s="35"/>
      <c r="B25" s="64" t="s">
        <v>20</v>
      </c>
      <c r="C25" s="35"/>
      <c r="D25" s="65">
        <f>Variables!B27</f>
        <v>400</v>
      </c>
      <c r="E25" s="30"/>
      <c r="F25" s="30"/>
      <c r="G25" s="144" t="s">
        <v>96</v>
      </c>
      <c r="H25" s="144"/>
      <c r="I25" s="144"/>
      <c r="J25" s="98">
        <f>SUM(J19:J24)</f>
        <v>205000</v>
      </c>
    </row>
    <row r="26" spans="1:10" ht="13.5" thickBot="1" x14ac:dyDescent="0.25">
      <c r="A26" s="35"/>
      <c r="B26" s="64" t="s">
        <v>62</v>
      </c>
      <c r="C26" s="35"/>
      <c r="D26" s="113">
        <f>D24/D25</f>
        <v>0.5625</v>
      </c>
      <c r="E26" s="30"/>
      <c r="F26" s="30"/>
      <c r="G26" s="144" t="s">
        <v>97</v>
      </c>
      <c r="H26" s="144"/>
      <c r="I26" s="144"/>
      <c r="J26" s="99">
        <f>J25/D25</f>
        <v>512.5</v>
      </c>
    </row>
    <row r="27" spans="1:10" ht="13.5" thickBot="1" x14ac:dyDescent="0.25">
      <c r="B27" s="64" t="s">
        <v>59</v>
      </c>
      <c r="D27" s="114">
        <f>Variables!B23/750</f>
        <v>0.02</v>
      </c>
    </row>
    <row r="28" spans="1:10" ht="13.5" hidden="1" thickBot="1" x14ac:dyDescent="0.25">
      <c r="B28" s="64" t="s">
        <v>61</v>
      </c>
      <c r="D28" s="33">
        <v>0</v>
      </c>
    </row>
    <row r="29" spans="1:10" ht="13.5" thickBot="1" x14ac:dyDescent="0.25">
      <c r="B29" s="64" t="s">
        <v>99</v>
      </c>
      <c r="D29" s="112">
        <f>D27*0.75</f>
        <v>1.4999999999999999E-2</v>
      </c>
    </row>
    <row r="30" spans="1:10" ht="13.5" thickBot="1" x14ac:dyDescent="0.25">
      <c r="B30" s="64" t="s">
        <v>60</v>
      </c>
      <c r="D30" s="112">
        <f>F45/1000</f>
        <v>1.2999999999999999E-2</v>
      </c>
    </row>
    <row r="32" spans="1:10" ht="13.5" thickBot="1" x14ac:dyDescent="0.25"/>
    <row r="33" spans="2:6" ht="39" thickBot="1" x14ac:dyDescent="0.25">
      <c r="B33" s="63" t="s">
        <v>21</v>
      </c>
      <c r="C33" s="60"/>
      <c r="D33" s="61" t="s">
        <v>22</v>
      </c>
      <c r="E33" s="61" t="s">
        <v>23</v>
      </c>
      <c r="F33" s="62" t="s">
        <v>24</v>
      </c>
    </row>
    <row r="34" spans="2:6" x14ac:dyDescent="0.2">
      <c r="B34" s="36" t="s">
        <v>25</v>
      </c>
      <c r="C34" s="37"/>
      <c r="D34" s="38">
        <v>6.6666666599999994E-2</v>
      </c>
      <c r="E34" s="39">
        <f>D34*60</f>
        <v>3.9999999959999997</v>
      </c>
      <c r="F34" s="40"/>
    </row>
    <row r="35" spans="2:6" x14ac:dyDescent="0.2">
      <c r="B35" s="41" t="s">
        <v>26</v>
      </c>
      <c r="C35" s="42"/>
      <c r="D35" s="43">
        <v>0.14199999999999999</v>
      </c>
      <c r="E35" s="44">
        <f>D35*60</f>
        <v>8.52</v>
      </c>
      <c r="F35" s="45"/>
    </row>
    <row r="36" spans="2:6" x14ac:dyDescent="0.2">
      <c r="B36" s="41" t="s">
        <v>27</v>
      </c>
      <c r="C36" s="42"/>
      <c r="D36" s="43">
        <v>0.6</v>
      </c>
      <c r="E36" s="44">
        <f>D36*60</f>
        <v>36</v>
      </c>
      <c r="F36" s="46"/>
    </row>
    <row r="37" spans="2:6" x14ac:dyDescent="0.2">
      <c r="B37" s="41" t="s">
        <v>28</v>
      </c>
      <c r="C37" s="42"/>
      <c r="D37" s="43">
        <v>1.25</v>
      </c>
      <c r="E37" s="44">
        <f>D37*60</f>
        <v>75</v>
      </c>
      <c r="F37" s="45"/>
    </row>
    <row r="38" spans="2:6" x14ac:dyDescent="0.2">
      <c r="B38" s="47" t="s">
        <v>29</v>
      </c>
      <c r="C38" s="48"/>
      <c r="D38" s="43">
        <v>7.9833299999999996E-2</v>
      </c>
      <c r="E38" s="44">
        <f>D38*60</f>
        <v>4.7899979999999998</v>
      </c>
      <c r="F38" s="46"/>
    </row>
    <row r="39" spans="2:6" x14ac:dyDescent="0.2">
      <c r="B39" s="41" t="s">
        <v>30</v>
      </c>
      <c r="C39" s="42"/>
      <c r="D39" s="43"/>
      <c r="E39" s="44"/>
      <c r="F39" s="49">
        <v>120</v>
      </c>
    </row>
    <row r="40" spans="2:6" x14ac:dyDescent="0.2">
      <c r="B40" s="47" t="s">
        <v>31</v>
      </c>
      <c r="C40" s="48"/>
      <c r="D40" s="50"/>
      <c r="E40" s="44"/>
      <c r="F40" s="51">
        <v>30</v>
      </c>
    </row>
    <row r="41" spans="2:6" x14ac:dyDescent="0.2">
      <c r="B41" s="47" t="s">
        <v>32</v>
      </c>
      <c r="C41" s="48"/>
      <c r="D41" s="52"/>
      <c r="E41" s="52"/>
      <c r="F41" s="49">
        <v>6</v>
      </c>
    </row>
    <row r="42" spans="2:6" x14ac:dyDescent="0.2">
      <c r="B42" s="47" t="s">
        <v>33</v>
      </c>
      <c r="C42" s="48"/>
      <c r="D42" s="52"/>
      <c r="E42" s="52"/>
      <c r="F42" s="49">
        <v>3</v>
      </c>
    </row>
    <row r="43" spans="2:6" x14ac:dyDescent="0.2">
      <c r="B43" s="53" t="s">
        <v>34</v>
      </c>
      <c r="C43" s="54"/>
      <c r="D43" s="52"/>
      <c r="E43" s="52"/>
      <c r="F43" s="49">
        <v>8</v>
      </c>
    </row>
    <row r="44" spans="2:6" x14ac:dyDescent="0.2">
      <c r="B44" s="53" t="s">
        <v>35</v>
      </c>
      <c r="C44" s="54"/>
      <c r="D44" s="52"/>
      <c r="E44" s="52"/>
      <c r="F44" s="49">
        <v>3600</v>
      </c>
    </row>
    <row r="45" spans="2:6" x14ac:dyDescent="0.2">
      <c r="B45" s="53" t="s">
        <v>36</v>
      </c>
      <c r="C45" s="54"/>
      <c r="D45" s="52"/>
      <c r="E45" s="52"/>
      <c r="F45" s="55">
        <f>0.013*1000</f>
        <v>13</v>
      </c>
    </row>
    <row r="46" spans="2:6" ht="13.5" thickBot="1" x14ac:dyDescent="0.25">
      <c r="B46" s="56" t="s">
        <v>39</v>
      </c>
      <c r="C46" s="57"/>
      <c r="D46" s="58"/>
      <c r="E46" s="58"/>
      <c r="F46" s="59">
        <v>1600</v>
      </c>
    </row>
  </sheetData>
  <sheetProtection password="F65D" sheet="1" objects="1" scenarios="1"/>
  <mergeCells count="6">
    <mergeCell ref="G26:I26"/>
    <mergeCell ref="A7:B7"/>
    <mergeCell ref="A18:B18"/>
    <mergeCell ref="A4:B4"/>
    <mergeCell ref="A1:J1"/>
    <mergeCell ref="G25:I25"/>
  </mergeCells>
  <pageMargins left="0.7" right="0.7" top="0.25" bottom="0.25" header="0.3" footer="0.3"/>
  <pageSetup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opLeftCell="A7" workbookViewId="0">
      <selection activeCell="K9" sqref="K9"/>
    </sheetView>
  </sheetViews>
  <sheetFormatPr defaultRowHeight="12.75" x14ac:dyDescent="0.2"/>
  <cols>
    <col min="1" max="2" width="2.7109375" style="2" customWidth="1"/>
    <col min="3" max="3" width="16.85546875" style="2" customWidth="1"/>
    <col min="4" max="6" width="14.7109375" style="2" customWidth="1"/>
    <col min="7" max="7" width="15.7109375" style="2" customWidth="1"/>
    <col min="8" max="16384" width="9.140625" style="2"/>
  </cols>
  <sheetData>
    <row r="1" spans="1:7" ht="15" x14ac:dyDescent="0.25">
      <c r="A1" s="155" t="s">
        <v>65</v>
      </c>
      <c r="B1" s="155"/>
      <c r="C1" s="155"/>
      <c r="D1" s="155"/>
      <c r="E1" s="155"/>
      <c r="F1" s="155"/>
      <c r="G1" s="155"/>
    </row>
    <row r="2" spans="1:7" ht="15" x14ac:dyDescent="0.25">
      <c r="A2" s="155" t="s">
        <v>66</v>
      </c>
      <c r="B2" s="155"/>
      <c r="C2" s="155"/>
      <c r="D2" s="155"/>
      <c r="E2" s="155"/>
      <c r="F2" s="155"/>
      <c r="G2" s="155"/>
    </row>
    <row r="3" spans="1:7" ht="9.75" customHeight="1" x14ac:dyDescent="0.2"/>
    <row r="4" spans="1:7" ht="15.75" x14ac:dyDescent="0.25">
      <c r="A4" s="148" t="s">
        <v>37</v>
      </c>
      <c r="B4" s="148"/>
      <c r="C4" s="148"/>
      <c r="D4" s="148"/>
      <c r="E4" s="148"/>
      <c r="F4" s="148"/>
      <c r="G4" s="148"/>
    </row>
    <row r="5" spans="1:7" x14ac:dyDescent="0.2">
      <c r="D5" s="1" t="s">
        <v>7</v>
      </c>
      <c r="E5" s="1" t="s">
        <v>8</v>
      </c>
      <c r="F5" s="1" t="s">
        <v>9</v>
      </c>
      <c r="G5" s="1" t="s">
        <v>14</v>
      </c>
    </row>
    <row r="6" spans="1:7" x14ac:dyDescent="0.2">
      <c r="B6" s="149" t="s">
        <v>0</v>
      </c>
      <c r="C6" s="150"/>
      <c r="D6" s="4"/>
      <c r="E6" s="4"/>
      <c r="F6" s="4"/>
      <c r="G6" s="5"/>
    </row>
    <row r="7" spans="1:7" x14ac:dyDescent="0.2">
      <c r="B7" s="10"/>
      <c r="C7" s="69" t="s">
        <v>58</v>
      </c>
      <c r="D7" s="8">
        <f>(Assumptions!$D$4/1000)*(Assumptions!$D$37*Assumptions!$D$12)</f>
        <v>1875</v>
      </c>
      <c r="E7" s="11">
        <v>0</v>
      </c>
      <c r="F7" s="11">
        <v>0</v>
      </c>
      <c r="G7" s="12">
        <f t="shared" ref="G7:G12" si="0">SUM(D7:F7)</f>
        <v>1875</v>
      </c>
    </row>
    <row r="8" spans="1:7" x14ac:dyDescent="0.2">
      <c r="B8" s="6"/>
      <c r="C8" s="7" t="s">
        <v>41</v>
      </c>
      <c r="D8" s="8">
        <v>0</v>
      </c>
      <c r="E8" s="8">
        <f>(Assumptions!$D$4/1000)*(Assumptions!$D$37*Assumptions!$D$12)</f>
        <v>1875</v>
      </c>
      <c r="F8" s="8">
        <f>(Assumptions!$D$4/1000)*(Assumptions!$D$37*Assumptions!$D$12)</f>
        <v>1875</v>
      </c>
      <c r="G8" s="9">
        <f t="shared" si="0"/>
        <v>3750</v>
      </c>
    </row>
    <row r="9" spans="1:7" x14ac:dyDescent="0.2">
      <c r="B9" s="6"/>
      <c r="C9" s="7" t="s">
        <v>2</v>
      </c>
      <c r="D9" s="8">
        <f>(Assumptions!$D$4/1000)*(Assumptions!$D$36*Assumptions!$D$12)*Assumptions!$F$41</f>
        <v>5400</v>
      </c>
      <c r="E9" s="8">
        <f>(Assumptions!$D$4/1000)*(Assumptions!$D$36*Assumptions!$D$12)*Assumptions!$F$41</f>
        <v>5400</v>
      </c>
      <c r="F9" s="8">
        <f>(Assumptions!$D$4/1000)*(Assumptions!$D$36*Assumptions!$D$12)*Assumptions!$F$41</f>
        <v>5400</v>
      </c>
      <c r="G9" s="9">
        <f t="shared" si="0"/>
        <v>16200</v>
      </c>
    </row>
    <row r="10" spans="1:7" x14ac:dyDescent="0.2">
      <c r="B10" s="6"/>
      <c r="C10" s="7" t="s">
        <v>25</v>
      </c>
      <c r="D10" s="8">
        <f>Assumptions!D8*(Assumptions!$D$4/1000)*(Assumptions!$D$34*Assumptions!$D$12)</f>
        <v>10399.999989599999</v>
      </c>
      <c r="E10" s="8">
        <f>Assumptions!E8*(Assumptions!$D$4/1000)*(Assumptions!$D$34*Assumptions!$D$12)</f>
        <v>10399.999989599999</v>
      </c>
      <c r="F10" s="8">
        <f>Assumptions!F8*(Assumptions!$D$4/1000)*(Assumptions!$D$34*Assumptions!$D$12)</f>
        <v>10399.999989599999</v>
      </c>
      <c r="G10" s="9">
        <f t="shared" si="0"/>
        <v>31199.999968799995</v>
      </c>
    </row>
    <row r="11" spans="1:7" ht="15" x14ac:dyDescent="0.35">
      <c r="B11" s="6"/>
      <c r="C11" s="7" t="s">
        <v>38</v>
      </c>
      <c r="D11" s="23">
        <f>(Assumptions!D9*(Assumptions!$D$4/1000)*(Assumptions!$D$38*Assumptions!$D$12))+(Assumptions!D9*(Assumptions!$D$4/1000)*(Assumptions!$D$36*Assumptions!$D$12)*Assumptions!$F$42)</f>
        <v>11278.9998</v>
      </c>
      <c r="E11" s="23">
        <f>(Assumptions!E9*(Assumptions!$D$4/1000)*(Assumptions!$D$38*Assumptions!$D$12))+(Assumptions!E9*(Assumptions!$D$4/1000)*(Assumptions!$D$36*Assumptions!$D$12)*Assumptions!$F$42)</f>
        <v>11278.9998</v>
      </c>
      <c r="F11" s="23">
        <f>(Assumptions!F9*(Assumptions!$D$4/1000)*(Assumptions!$D$38*Assumptions!$D$12))+(Assumptions!F9*(Assumptions!$D$4/1000)*(Assumptions!$D$36*Assumptions!$D$12)*Assumptions!$F$42)</f>
        <v>11278.9998</v>
      </c>
      <c r="G11" s="24">
        <f t="shared" si="0"/>
        <v>33836.999400000001</v>
      </c>
    </row>
    <row r="12" spans="1:7" x14ac:dyDescent="0.2">
      <c r="B12" s="6"/>
      <c r="C12" s="15" t="s">
        <v>13</v>
      </c>
      <c r="D12" s="118">
        <f t="shared" ref="D12:F12" si="1">SUM(D7:D11)</f>
        <v>28953.999789599999</v>
      </c>
      <c r="E12" s="118">
        <f t="shared" si="1"/>
        <v>28953.999789599999</v>
      </c>
      <c r="F12" s="118">
        <f t="shared" si="1"/>
        <v>28953.999789599999</v>
      </c>
      <c r="G12" s="120">
        <f t="shared" si="0"/>
        <v>86861.999368799996</v>
      </c>
    </row>
    <row r="13" spans="1:7" x14ac:dyDescent="0.2">
      <c r="B13" s="6"/>
      <c r="C13" s="7"/>
      <c r="D13" s="7"/>
      <c r="E13" s="7"/>
      <c r="F13" s="7"/>
      <c r="G13" s="16"/>
    </row>
    <row r="14" spans="1:7" x14ac:dyDescent="0.2">
      <c r="B14" s="151" t="s">
        <v>4</v>
      </c>
      <c r="C14" s="152"/>
      <c r="D14" s="7"/>
      <c r="E14" s="7"/>
      <c r="F14" s="7"/>
      <c r="G14" s="16"/>
    </row>
    <row r="15" spans="1:7" x14ac:dyDescent="0.2">
      <c r="B15" s="10"/>
      <c r="C15" s="69" t="s">
        <v>58</v>
      </c>
      <c r="D15" s="11">
        <f>(Assumptions!$D$4/Assumptions!$F$44)*Assumptions!$D$14</f>
        <v>833.33333333333337</v>
      </c>
      <c r="E15" s="11">
        <v>0</v>
      </c>
      <c r="F15" s="11">
        <v>0</v>
      </c>
      <c r="G15" s="70">
        <f>SUM(D15:F15)</f>
        <v>833.33333333333337</v>
      </c>
    </row>
    <row r="16" spans="1:7" x14ac:dyDescent="0.2">
      <c r="B16" s="10"/>
      <c r="C16" s="7" t="s">
        <v>42</v>
      </c>
      <c r="D16" s="11">
        <f>((Assumptions!D4/Assumptions!F46)*Assumptions!D13)*Assumptions!F41</f>
        <v>9375</v>
      </c>
      <c r="E16" s="11">
        <v>0</v>
      </c>
      <c r="F16" s="11">
        <v>0</v>
      </c>
      <c r="G16" s="12">
        <f>SUM(D16:F16)</f>
        <v>9375</v>
      </c>
    </row>
    <row r="17" spans="1:7" x14ac:dyDescent="0.2">
      <c r="B17" s="10"/>
      <c r="C17" s="7" t="s">
        <v>43</v>
      </c>
      <c r="D17" s="11">
        <f>Assumptions!D9*(((Assumptions!$D$4/Assumptions!$F$46)*Assumptions!$D$13)*Assumptions!$F$42)</f>
        <v>18750</v>
      </c>
      <c r="E17" s="11">
        <f>Assumptions!E9*(((Assumptions!$D$4/Assumptions!$F$46)*Assumptions!$D$13)*Assumptions!$F$42)</f>
        <v>18750</v>
      </c>
      <c r="F17" s="11">
        <f>Assumptions!F9*(((Assumptions!$D$4/Assumptions!$F$46)*Assumptions!$D$13)*Assumptions!$F$42)</f>
        <v>18750</v>
      </c>
      <c r="G17" s="9">
        <f>SUM(D17:F17)</f>
        <v>56250</v>
      </c>
    </row>
    <row r="18" spans="1:7" ht="15" x14ac:dyDescent="0.35">
      <c r="B18" s="6"/>
      <c r="C18" s="7" t="s">
        <v>40</v>
      </c>
      <c r="D18" s="25">
        <v>0</v>
      </c>
      <c r="E18" s="25">
        <f>(Assumptions!E10*(Assumptions!$D$4/Assumptions!$F$44)*Assumptions!$D$14)+(Assumptions!E10*(((Assumptions!$D$4/Assumptions!$F$46)*Assumptions!$D$13)*Assumptions!$F$41))</f>
        <v>10208.333333333334</v>
      </c>
      <c r="F18" s="25">
        <f>(Assumptions!F10*(Assumptions!$D$4/Assumptions!$F$44)*Assumptions!$D$14)+(Assumptions!F10*(((Assumptions!$D$4/Assumptions!$F$46)*Assumptions!$D$13)*Assumptions!$F$41))</f>
        <v>10208.333333333334</v>
      </c>
      <c r="G18" s="26">
        <f>SUM(D18:F18)</f>
        <v>20416.666666666668</v>
      </c>
    </row>
    <row r="19" spans="1:7" x14ac:dyDescent="0.2">
      <c r="B19" s="6"/>
      <c r="C19" s="17" t="s">
        <v>15</v>
      </c>
      <c r="D19" s="115">
        <f t="shared" ref="D19:F19" si="2">SUM(D15:D18)</f>
        <v>28958.333333333336</v>
      </c>
      <c r="E19" s="115">
        <f t="shared" si="2"/>
        <v>28958.333333333336</v>
      </c>
      <c r="F19" s="115">
        <f t="shared" si="2"/>
        <v>28958.333333333336</v>
      </c>
      <c r="G19" s="121">
        <f>SUM(D19:F19)</f>
        <v>86875</v>
      </c>
    </row>
    <row r="20" spans="1:7" x14ac:dyDescent="0.2">
      <c r="B20" s="6"/>
      <c r="C20" s="7"/>
      <c r="D20" s="7"/>
      <c r="E20" s="7"/>
      <c r="F20" s="7"/>
      <c r="G20" s="18"/>
    </row>
    <row r="21" spans="1:7" ht="15" x14ac:dyDescent="0.35">
      <c r="B21" s="151" t="s">
        <v>85</v>
      </c>
      <c r="C21" s="152"/>
      <c r="D21" s="116">
        <f t="shared" ref="D21:G21" si="3">D12+D19</f>
        <v>57912.333122933334</v>
      </c>
      <c r="E21" s="116">
        <f t="shared" si="3"/>
        <v>57912.333122933334</v>
      </c>
      <c r="F21" s="116">
        <f t="shared" si="3"/>
        <v>57912.333122933334</v>
      </c>
      <c r="G21" s="122">
        <f t="shared" si="3"/>
        <v>173736.9993688</v>
      </c>
    </row>
    <row r="22" spans="1:7" ht="9" customHeight="1" x14ac:dyDescent="0.2">
      <c r="B22" s="10"/>
      <c r="C22" s="13"/>
      <c r="D22" s="14"/>
      <c r="E22" s="14"/>
      <c r="F22" s="14"/>
      <c r="G22" s="19"/>
    </row>
    <row r="23" spans="1:7" x14ac:dyDescent="0.2">
      <c r="B23" s="151" t="s">
        <v>17</v>
      </c>
      <c r="C23" s="152"/>
      <c r="D23" s="119">
        <f>D21/Assumptions!D4</f>
        <v>0.57912333122933335</v>
      </c>
      <c r="E23" s="119">
        <f>E21/Assumptions!$D$4</f>
        <v>0.57912333122933335</v>
      </c>
      <c r="F23" s="119">
        <f>F21/Assumptions!$D$4</f>
        <v>0.57912333122933335</v>
      </c>
      <c r="G23" s="123">
        <f>G21/Assumptions!D4</f>
        <v>1.737369993688</v>
      </c>
    </row>
    <row r="24" spans="1:7" ht="7.5" customHeight="1" x14ac:dyDescent="0.2">
      <c r="B24" s="10"/>
      <c r="C24" s="13"/>
      <c r="D24" s="14"/>
      <c r="E24" s="14"/>
      <c r="F24" s="14"/>
      <c r="G24" s="19"/>
    </row>
    <row r="25" spans="1:7" x14ac:dyDescent="0.2">
      <c r="A25" s="3"/>
      <c r="B25" s="151" t="s">
        <v>51</v>
      </c>
      <c r="C25" s="152"/>
      <c r="D25" s="14"/>
      <c r="E25" s="14">
        <f>D21+E21</f>
        <v>115824.66624586667</v>
      </c>
      <c r="F25" s="14">
        <f>E25+F21</f>
        <v>173736.9993688</v>
      </c>
      <c r="G25" s="19"/>
    </row>
    <row r="26" spans="1:7" ht="8.25" customHeight="1" x14ac:dyDescent="0.2">
      <c r="B26" s="6"/>
      <c r="C26" s="7"/>
      <c r="D26" s="7"/>
      <c r="E26" s="7"/>
      <c r="F26" s="7"/>
      <c r="G26" s="18"/>
    </row>
    <row r="27" spans="1:7" x14ac:dyDescent="0.2">
      <c r="B27" s="153" t="s">
        <v>52</v>
      </c>
      <c r="C27" s="154"/>
      <c r="D27" s="20"/>
      <c r="E27" s="21">
        <f>E25/Assumptions!$D$4</f>
        <v>1.1582466624586667</v>
      </c>
      <c r="F27" s="21">
        <f>F25/Assumptions!$D$4</f>
        <v>1.737369993688</v>
      </c>
      <c r="G27" s="22"/>
    </row>
    <row r="30" spans="1:7" ht="15.75" x14ac:dyDescent="0.25">
      <c r="A30" s="148" t="s">
        <v>16</v>
      </c>
      <c r="B30" s="148"/>
      <c r="C30" s="148"/>
    </row>
    <row r="31" spans="1:7" x14ac:dyDescent="0.2">
      <c r="D31" s="1" t="s">
        <v>7</v>
      </c>
      <c r="E31" s="1" t="s">
        <v>8</v>
      </c>
      <c r="F31" s="1" t="s">
        <v>9</v>
      </c>
      <c r="G31" s="1" t="s">
        <v>14</v>
      </c>
    </row>
    <row r="32" spans="1:7" x14ac:dyDescent="0.2">
      <c r="B32" s="149" t="s">
        <v>0</v>
      </c>
      <c r="C32" s="150"/>
      <c r="D32" s="4"/>
      <c r="E32" s="4"/>
      <c r="F32" s="4"/>
      <c r="G32" s="5"/>
    </row>
    <row r="33" spans="2:7" x14ac:dyDescent="0.2">
      <c r="B33" s="6"/>
      <c r="C33" s="7" t="s">
        <v>1</v>
      </c>
      <c r="D33" s="8">
        <f>(Assumptions!$D$4/1000)*(Assumptions!$D$37*Assumptions!$D$12)</f>
        <v>1875</v>
      </c>
      <c r="E33" s="8">
        <v>0</v>
      </c>
      <c r="F33" s="8">
        <v>0</v>
      </c>
      <c r="G33" s="9">
        <f>SUM(D33:F33)</f>
        <v>1875</v>
      </c>
    </row>
    <row r="34" spans="2:7" x14ac:dyDescent="0.2">
      <c r="B34" s="6"/>
      <c r="C34" s="7" t="s">
        <v>2</v>
      </c>
      <c r="D34" s="8">
        <f>Assumptions!D19*Assumptions!D27</f>
        <v>2000</v>
      </c>
      <c r="E34" s="8">
        <v>0</v>
      </c>
      <c r="F34" s="8">
        <v>0</v>
      </c>
      <c r="G34" s="9">
        <f>SUM(D34:F34)</f>
        <v>2000</v>
      </c>
    </row>
    <row r="35" spans="2:7" ht="15" x14ac:dyDescent="0.35">
      <c r="B35" s="6"/>
      <c r="C35" s="7" t="s">
        <v>3</v>
      </c>
      <c r="D35" s="78">
        <v>0</v>
      </c>
      <c r="E35" s="23">
        <f>(Assumptions!E20+Assumptions!E21+Assumptions!E22+Assumptions!E23)*(Assumptions!$D$27+Assumptions!$D$29)</f>
        <v>87.500000000000014</v>
      </c>
      <c r="F35" s="23">
        <f>(Assumptions!F20+Assumptions!F21+Assumptions!F22+Assumptions!F23)*(Assumptions!$D$27+Assumptions!$D$29)</f>
        <v>87.500000000000014</v>
      </c>
      <c r="G35" s="24">
        <f>SUM(D35:F35)</f>
        <v>175.00000000000003</v>
      </c>
    </row>
    <row r="36" spans="2:7" x14ac:dyDescent="0.2">
      <c r="B36" s="6"/>
      <c r="C36" s="17" t="s">
        <v>13</v>
      </c>
      <c r="D36" s="117">
        <f t="shared" ref="D36:G36" si="4">SUM(D33:D35)</f>
        <v>3875</v>
      </c>
      <c r="E36" s="117">
        <f t="shared" si="4"/>
        <v>87.500000000000014</v>
      </c>
      <c r="F36" s="117">
        <f t="shared" si="4"/>
        <v>87.500000000000014</v>
      </c>
      <c r="G36" s="124">
        <f t="shared" si="4"/>
        <v>4050</v>
      </c>
    </row>
    <row r="37" spans="2:7" x14ac:dyDescent="0.2">
      <c r="B37" s="6"/>
      <c r="C37" s="7"/>
      <c r="D37" s="7"/>
      <c r="E37" s="7"/>
      <c r="F37" s="7"/>
      <c r="G37" s="18"/>
    </row>
    <row r="38" spans="2:7" x14ac:dyDescent="0.2">
      <c r="B38" s="151" t="s">
        <v>4</v>
      </c>
      <c r="C38" s="152"/>
      <c r="D38" s="7"/>
      <c r="E38" s="7"/>
      <c r="F38" s="7"/>
      <c r="G38" s="18"/>
    </row>
    <row r="39" spans="2:7" x14ac:dyDescent="0.2">
      <c r="B39" s="107"/>
      <c r="C39" s="69" t="s">
        <v>58</v>
      </c>
      <c r="D39" s="11">
        <f>(Assumptions!$D$4/Assumptions!$F$44)*Assumptions!$D$14</f>
        <v>833.33333333333337</v>
      </c>
      <c r="E39" s="11">
        <v>0</v>
      </c>
      <c r="F39" s="11">
        <v>0</v>
      </c>
      <c r="G39" s="70">
        <f>SUM(D39:F39)</f>
        <v>833.33333333333337</v>
      </c>
    </row>
    <row r="40" spans="2:7" x14ac:dyDescent="0.2">
      <c r="B40" s="6"/>
      <c r="C40" s="7" t="s">
        <v>5</v>
      </c>
      <c r="D40" s="11">
        <f>Assumptions!D19*Assumptions!D26</f>
        <v>56250</v>
      </c>
      <c r="E40" s="11">
        <f>(Assumptions!E20+Assumptions!E21+Assumptions!E22+Assumptions!E23)*Assumptions!$D$26</f>
        <v>1406.25</v>
      </c>
      <c r="F40" s="11">
        <f>(Assumptions!F20+Assumptions!F21+Assumptions!F22+Assumptions!F23)*Assumptions!$D$26</f>
        <v>1406.25</v>
      </c>
      <c r="G40" s="19">
        <f>SUM(D40:F40)</f>
        <v>59062.5</v>
      </c>
    </row>
    <row r="41" spans="2:7" ht="15" x14ac:dyDescent="0.35">
      <c r="B41" s="6"/>
      <c r="C41" s="7" t="s">
        <v>6</v>
      </c>
      <c r="D41" s="25">
        <f>Assumptions!D30*Assumptions!D19</f>
        <v>1300</v>
      </c>
      <c r="E41" s="25">
        <f>(Assumptions!E20+Assumptions!E21+Assumptions!E22+Assumptions!E23)*Assumptions!$D$30</f>
        <v>32.5</v>
      </c>
      <c r="F41" s="25">
        <f>(Assumptions!F20+Assumptions!F21+Assumptions!F22+Assumptions!F23)*Assumptions!$D$30</f>
        <v>32.5</v>
      </c>
      <c r="G41" s="79">
        <f>SUM(D41:F41)</f>
        <v>1365</v>
      </c>
    </row>
    <row r="42" spans="2:7" x14ac:dyDescent="0.2">
      <c r="B42" s="6"/>
      <c r="C42" s="17" t="s">
        <v>15</v>
      </c>
      <c r="D42" s="115">
        <f t="shared" ref="D42:F42" si="5">SUM(D39:D41)</f>
        <v>58383.333333333336</v>
      </c>
      <c r="E42" s="115">
        <f t="shared" si="5"/>
        <v>1438.75</v>
      </c>
      <c r="F42" s="115">
        <f t="shared" si="5"/>
        <v>1438.75</v>
      </c>
      <c r="G42" s="125">
        <f>SUM(D42:F42)</f>
        <v>61260.833333333336</v>
      </c>
    </row>
    <row r="43" spans="2:7" x14ac:dyDescent="0.2">
      <c r="B43" s="6"/>
      <c r="C43" s="7"/>
      <c r="D43" s="7"/>
      <c r="E43" s="7"/>
      <c r="F43" s="7"/>
      <c r="G43" s="18"/>
    </row>
    <row r="44" spans="2:7" ht="15" x14ac:dyDescent="0.35">
      <c r="B44" s="80" t="s">
        <v>86</v>
      </c>
      <c r="C44" s="81"/>
      <c r="D44" s="116">
        <f>D36+D42</f>
        <v>62258.333333333336</v>
      </c>
      <c r="E44" s="116">
        <f t="shared" ref="E44:G44" si="6">E36+E42</f>
        <v>1526.25</v>
      </c>
      <c r="F44" s="116">
        <f t="shared" si="6"/>
        <v>1526.25</v>
      </c>
      <c r="G44" s="122">
        <f t="shared" si="6"/>
        <v>65310.833333333336</v>
      </c>
    </row>
    <row r="45" spans="2:7" x14ac:dyDescent="0.2">
      <c r="B45" s="6"/>
      <c r="C45" s="7"/>
      <c r="D45" s="7"/>
      <c r="E45" s="7"/>
      <c r="F45" s="7"/>
      <c r="G45" s="18"/>
    </row>
    <row r="46" spans="2:7" x14ac:dyDescent="0.2">
      <c r="B46" s="82" t="s">
        <v>17</v>
      </c>
      <c r="C46" s="7"/>
      <c r="D46" s="119">
        <f>D44/Assumptions!$D$4</f>
        <v>0.62258333333333338</v>
      </c>
      <c r="E46" s="119">
        <f>E44/Assumptions!$D$4</f>
        <v>1.52625E-2</v>
      </c>
      <c r="F46" s="119">
        <f>F44/Assumptions!$D$4</f>
        <v>1.52625E-2</v>
      </c>
      <c r="G46" s="123">
        <f>SUM(D46:F46)</f>
        <v>0.65310833333333329</v>
      </c>
    </row>
    <row r="47" spans="2:7" x14ac:dyDescent="0.2">
      <c r="B47" s="6"/>
      <c r="C47" s="7"/>
      <c r="D47" s="7"/>
      <c r="E47" s="7"/>
      <c r="F47" s="7"/>
      <c r="G47" s="18"/>
    </row>
    <row r="48" spans="2:7" x14ac:dyDescent="0.2">
      <c r="B48" s="82" t="s">
        <v>51</v>
      </c>
      <c r="C48" s="83"/>
      <c r="D48" s="83"/>
      <c r="E48" s="14">
        <f>D44+E44</f>
        <v>63784.583333333336</v>
      </c>
      <c r="F48" s="14">
        <f>E48+F44</f>
        <v>65310.833333333336</v>
      </c>
      <c r="G48" s="84"/>
    </row>
    <row r="49" spans="2:7" x14ac:dyDescent="0.2">
      <c r="B49" s="82"/>
      <c r="C49" s="83"/>
      <c r="D49" s="83"/>
      <c r="E49" s="83"/>
      <c r="F49" s="83"/>
      <c r="G49" s="84"/>
    </row>
    <row r="50" spans="2:7" x14ac:dyDescent="0.2">
      <c r="B50" s="85" t="s">
        <v>52</v>
      </c>
      <c r="C50" s="20"/>
      <c r="D50" s="20"/>
      <c r="E50" s="21">
        <f>D46+E46</f>
        <v>0.63784583333333333</v>
      </c>
      <c r="F50" s="21">
        <f>E50+F46</f>
        <v>0.65310833333333329</v>
      </c>
      <c r="G50" s="22"/>
    </row>
  </sheetData>
  <sheetProtection password="F65D" sheet="1" objects="1" scenarios="1"/>
  <mergeCells count="12">
    <mergeCell ref="A1:G1"/>
    <mergeCell ref="A2:G2"/>
    <mergeCell ref="B14:C14"/>
    <mergeCell ref="A4:G4"/>
    <mergeCell ref="B21:C21"/>
    <mergeCell ref="A30:C30"/>
    <mergeCell ref="B32:C32"/>
    <mergeCell ref="B38:C38"/>
    <mergeCell ref="B6:C6"/>
    <mergeCell ref="B27:C27"/>
    <mergeCell ref="B23:C23"/>
    <mergeCell ref="B25:C25"/>
  </mergeCells>
  <printOptions horizontalCentered="1"/>
  <pageMargins left="0.45" right="0.45" top="0.25" bottom="0.25" header="0.3" footer="0.3"/>
  <pageSetup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workbookViewId="0"/>
  </sheetViews>
  <sheetFormatPr defaultRowHeight="15" x14ac:dyDescent="0.25"/>
  <cols>
    <col min="1" max="10" width="10" style="71" customWidth="1"/>
    <col min="11" max="11" width="10.5703125" style="71" customWidth="1"/>
    <col min="12" max="16384" width="9.140625" style="71"/>
  </cols>
  <sheetData>
    <row r="1" spans="1:11" ht="15.75" thickTop="1" x14ac:dyDescent="0.25">
      <c r="A1" s="127"/>
      <c r="B1" s="128"/>
      <c r="C1" s="128"/>
      <c r="D1" s="128"/>
      <c r="E1" s="128"/>
      <c r="F1" s="128"/>
      <c r="G1" s="128"/>
      <c r="H1" s="128"/>
      <c r="I1" s="128"/>
      <c r="J1" s="129"/>
    </row>
    <row r="2" spans="1:11" x14ac:dyDescent="0.25">
      <c r="A2" s="130"/>
      <c r="B2" s="86"/>
      <c r="C2" s="86"/>
      <c r="D2" s="86"/>
      <c r="E2" s="156" t="s">
        <v>109</v>
      </c>
      <c r="F2" s="156"/>
      <c r="G2" s="156"/>
      <c r="H2" s="156"/>
      <c r="I2" s="156"/>
      <c r="J2" s="131"/>
    </row>
    <row r="3" spans="1:11" x14ac:dyDescent="0.25">
      <c r="A3" s="130"/>
      <c r="B3" s="86"/>
      <c r="C3" s="86"/>
      <c r="D3" s="86"/>
      <c r="E3" s="156"/>
      <c r="F3" s="156"/>
      <c r="G3" s="156"/>
      <c r="H3" s="156"/>
      <c r="I3" s="156"/>
      <c r="J3" s="131"/>
    </row>
    <row r="4" spans="1:11" x14ac:dyDescent="0.25">
      <c r="A4" s="130"/>
      <c r="B4" s="86"/>
      <c r="C4" s="86"/>
      <c r="D4" s="86"/>
      <c r="E4" s="156"/>
      <c r="F4" s="156"/>
      <c r="G4" s="156"/>
      <c r="H4" s="156"/>
      <c r="I4" s="156"/>
      <c r="J4" s="131"/>
    </row>
    <row r="5" spans="1:11" x14ac:dyDescent="0.25">
      <c r="A5" s="130"/>
      <c r="B5" s="86"/>
      <c r="C5" s="86"/>
      <c r="D5" s="86"/>
      <c r="E5" s="156"/>
      <c r="F5" s="156"/>
      <c r="G5" s="156"/>
      <c r="H5" s="156"/>
      <c r="I5" s="156"/>
      <c r="J5" s="131"/>
    </row>
    <row r="6" spans="1:11" ht="19.5" x14ac:dyDescent="0.35">
      <c r="A6" s="157"/>
      <c r="B6" s="158"/>
      <c r="C6" s="158"/>
      <c r="D6" s="158"/>
      <c r="E6" s="158"/>
      <c r="F6" s="158"/>
      <c r="G6" s="158"/>
      <c r="H6" s="158"/>
      <c r="I6" s="158"/>
      <c r="J6" s="159"/>
      <c r="K6" s="93"/>
    </row>
    <row r="7" spans="1:11" x14ac:dyDescent="0.25">
      <c r="A7" s="130"/>
      <c r="B7" s="86"/>
      <c r="C7" s="86"/>
      <c r="D7" s="86"/>
      <c r="E7" s="86"/>
      <c r="F7" s="86"/>
      <c r="G7" s="86"/>
      <c r="H7" s="86"/>
      <c r="I7" s="86"/>
      <c r="J7" s="131"/>
    </row>
    <row r="8" spans="1:11" ht="18" customHeight="1" x14ac:dyDescent="0.25">
      <c r="A8" s="130"/>
      <c r="B8" s="97" t="s">
        <v>107</v>
      </c>
      <c r="C8" s="86"/>
      <c r="D8" s="86"/>
      <c r="E8" s="86"/>
      <c r="F8" s="86"/>
      <c r="G8" s="86"/>
      <c r="H8" s="86"/>
      <c r="I8" s="86"/>
      <c r="J8" s="131"/>
    </row>
    <row r="9" spans="1:11" ht="18" customHeight="1" x14ac:dyDescent="0.25">
      <c r="A9" s="130"/>
      <c r="B9" s="90" t="s">
        <v>91</v>
      </c>
      <c r="C9" s="86"/>
      <c r="D9" s="86"/>
      <c r="E9" s="86"/>
      <c r="F9" s="86"/>
      <c r="G9" s="86"/>
      <c r="H9" s="86"/>
      <c r="I9" s="91">
        <f>Variables!B13</f>
        <v>100000</v>
      </c>
      <c r="J9" s="131"/>
    </row>
    <row r="10" spans="1:11" ht="18" customHeight="1" x14ac:dyDescent="0.25">
      <c r="A10" s="130"/>
      <c r="B10" s="90" t="s">
        <v>106</v>
      </c>
      <c r="C10" s="86"/>
      <c r="D10" s="86"/>
      <c r="E10" s="86"/>
      <c r="F10" s="86"/>
      <c r="G10" s="86"/>
      <c r="H10" s="86"/>
      <c r="I10" s="92">
        <f>Assumptions!D8</f>
        <v>104</v>
      </c>
      <c r="J10" s="131"/>
    </row>
    <row r="11" spans="1:11" ht="18" customHeight="1" x14ac:dyDescent="0.25">
      <c r="A11" s="130"/>
      <c r="B11" s="90" t="s">
        <v>92</v>
      </c>
      <c r="C11" s="86"/>
      <c r="D11" s="86"/>
      <c r="E11" s="86"/>
      <c r="F11" s="86"/>
      <c r="G11" s="86"/>
      <c r="H11" s="86"/>
      <c r="I11" s="92">
        <f>Assumptions!D9</f>
        <v>4</v>
      </c>
      <c r="J11" s="131"/>
    </row>
    <row r="12" spans="1:11" ht="18" customHeight="1" x14ac:dyDescent="0.25">
      <c r="A12" s="130"/>
      <c r="B12" s="90" t="s">
        <v>93</v>
      </c>
      <c r="C12" s="86"/>
      <c r="D12" s="86"/>
      <c r="E12" s="86"/>
      <c r="F12" s="86"/>
      <c r="G12" s="86"/>
      <c r="H12" s="86"/>
      <c r="I12" s="92">
        <f>Assumptions!E10</f>
        <v>1</v>
      </c>
      <c r="J12" s="131"/>
    </row>
    <row r="13" spans="1:11" x14ac:dyDescent="0.25">
      <c r="A13" s="130"/>
      <c r="B13" s="86"/>
      <c r="C13" s="86"/>
      <c r="D13" s="86"/>
      <c r="E13" s="86"/>
      <c r="F13" s="86"/>
      <c r="G13" s="86"/>
      <c r="H13" s="86"/>
      <c r="I13" s="86"/>
      <c r="J13" s="131"/>
    </row>
    <row r="14" spans="1:11" ht="14.25" customHeight="1" x14ac:dyDescent="0.25">
      <c r="A14" s="130"/>
      <c r="B14" s="86"/>
      <c r="C14" s="86"/>
      <c r="D14" s="86"/>
      <c r="E14" s="86"/>
      <c r="F14" s="86"/>
      <c r="G14" s="86"/>
      <c r="H14" s="86"/>
      <c r="I14" s="86"/>
      <c r="J14" s="131"/>
    </row>
    <row r="15" spans="1:11" x14ac:dyDescent="0.25">
      <c r="A15" s="130"/>
      <c r="B15" s="86"/>
      <c r="C15" s="86"/>
      <c r="D15" s="86"/>
      <c r="E15" s="86"/>
      <c r="F15" s="86"/>
      <c r="G15" s="86"/>
      <c r="H15" s="86"/>
      <c r="I15" s="86"/>
      <c r="J15" s="131"/>
    </row>
    <row r="16" spans="1:11" x14ac:dyDescent="0.25">
      <c r="A16" s="130"/>
      <c r="B16" s="86"/>
      <c r="C16" s="86"/>
      <c r="D16" s="86"/>
      <c r="E16" s="86"/>
      <c r="F16" s="86"/>
      <c r="G16" s="86"/>
      <c r="H16" s="86"/>
      <c r="I16" s="86"/>
      <c r="J16" s="131"/>
    </row>
    <row r="17" spans="1:10" x14ac:dyDescent="0.25">
      <c r="A17" s="130"/>
      <c r="B17" s="86"/>
      <c r="C17" s="86"/>
      <c r="D17" s="86"/>
      <c r="E17" s="86"/>
      <c r="F17" s="86"/>
      <c r="G17" s="86"/>
      <c r="H17" s="86"/>
      <c r="I17" s="86"/>
      <c r="J17" s="131"/>
    </row>
    <row r="18" spans="1:10" x14ac:dyDescent="0.25">
      <c r="A18" s="130"/>
      <c r="B18" s="86"/>
      <c r="C18" s="86"/>
      <c r="D18" s="86"/>
      <c r="E18" s="86"/>
      <c r="F18" s="86"/>
      <c r="G18" s="86"/>
      <c r="H18" s="86"/>
      <c r="I18" s="86"/>
      <c r="J18" s="131"/>
    </row>
    <row r="19" spans="1:10" x14ac:dyDescent="0.25">
      <c r="A19" s="130"/>
      <c r="B19" s="86"/>
      <c r="C19" s="86"/>
      <c r="D19" s="86"/>
      <c r="E19" s="86"/>
      <c r="F19" s="86"/>
      <c r="G19" s="86"/>
      <c r="H19" s="86"/>
      <c r="I19" s="86"/>
      <c r="J19" s="131"/>
    </row>
    <row r="20" spans="1:10" x14ac:dyDescent="0.25">
      <c r="A20" s="130"/>
      <c r="B20" s="86"/>
      <c r="C20" s="86"/>
      <c r="D20" s="86"/>
      <c r="E20" s="86"/>
      <c r="F20" s="86"/>
      <c r="G20" s="86"/>
      <c r="H20" s="86"/>
      <c r="I20" s="86"/>
      <c r="J20" s="131"/>
    </row>
    <row r="21" spans="1:10" x14ac:dyDescent="0.25">
      <c r="A21" s="130"/>
      <c r="B21" s="86"/>
      <c r="C21" s="86"/>
      <c r="D21" s="86"/>
      <c r="E21" s="86"/>
      <c r="F21" s="86"/>
      <c r="G21" s="86"/>
      <c r="H21" s="86"/>
      <c r="I21" s="86"/>
      <c r="J21" s="131"/>
    </row>
    <row r="22" spans="1:10" x14ac:dyDescent="0.25">
      <c r="A22" s="130"/>
      <c r="B22" s="86"/>
      <c r="C22" s="86"/>
      <c r="D22" s="86"/>
      <c r="E22" s="86"/>
      <c r="F22" s="86"/>
      <c r="G22" s="86"/>
      <c r="H22" s="86"/>
      <c r="I22" s="86"/>
      <c r="J22" s="131"/>
    </row>
    <row r="23" spans="1:10" x14ac:dyDescent="0.25">
      <c r="A23" s="130"/>
      <c r="B23" s="86"/>
      <c r="C23" s="86"/>
      <c r="D23" s="86"/>
      <c r="E23" s="86"/>
      <c r="F23" s="86"/>
      <c r="G23" s="86"/>
      <c r="H23" s="86"/>
      <c r="I23" s="86"/>
      <c r="J23" s="131"/>
    </row>
    <row r="24" spans="1:10" x14ac:dyDescent="0.25">
      <c r="A24" s="130"/>
      <c r="B24" s="86"/>
      <c r="C24" s="86"/>
      <c r="D24" s="86"/>
      <c r="E24" s="86"/>
      <c r="F24" s="86"/>
      <c r="G24" s="86"/>
      <c r="H24" s="86"/>
      <c r="I24" s="86"/>
      <c r="J24" s="131"/>
    </row>
    <row r="25" spans="1:10" x14ac:dyDescent="0.25">
      <c r="A25" s="130"/>
      <c r="B25" s="86"/>
      <c r="C25" s="86"/>
      <c r="D25" s="86"/>
      <c r="E25" s="86"/>
      <c r="F25" s="86"/>
      <c r="G25" s="86"/>
      <c r="H25" s="86"/>
      <c r="I25" s="86"/>
      <c r="J25" s="131"/>
    </row>
    <row r="26" spans="1:10" x14ac:dyDescent="0.25">
      <c r="A26" s="130"/>
      <c r="B26" s="86"/>
      <c r="C26" s="86"/>
      <c r="D26" s="86"/>
      <c r="E26" s="86"/>
      <c r="F26" s="86"/>
      <c r="G26" s="86"/>
      <c r="H26" s="86"/>
      <c r="I26" s="86"/>
      <c r="J26" s="131"/>
    </row>
    <row r="27" spans="1:10" x14ac:dyDescent="0.25">
      <c r="A27" s="130"/>
      <c r="B27" s="86"/>
      <c r="C27" s="86"/>
      <c r="D27" s="86"/>
      <c r="E27" s="86"/>
      <c r="F27" s="86"/>
      <c r="G27" s="86"/>
      <c r="H27" s="86"/>
      <c r="I27" s="86"/>
      <c r="J27" s="131"/>
    </row>
    <row r="28" spans="1:10" ht="24" customHeight="1" x14ac:dyDescent="0.25">
      <c r="A28" s="130"/>
      <c r="B28" s="165" t="s">
        <v>111</v>
      </c>
      <c r="C28" s="165"/>
      <c r="D28" s="165"/>
      <c r="E28" s="165"/>
      <c r="F28" s="165"/>
      <c r="G28" s="165"/>
      <c r="H28" s="165"/>
      <c r="I28" s="165"/>
      <c r="J28" s="131"/>
    </row>
    <row r="29" spans="1:10" ht="19.5" customHeight="1" x14ac:dyDescent="0.25">
      <c r="A29" s="130"/>
      <c r="B29" s="86"/>
      <c r="C29" s="126"/>
      <c r="D29" s="105" t="s">
        <v>0</v>
      </c>
      <c r="E29" s="86"/>
      <c r="F29" s="105" t="s">
        <v>4</v>
      </c>
      <c r="G29" s="106"/>
      <c r="H29" s="105" t="s">
        <v>94</v>
      </c>
      <c r="I29" s="105"/>
      <c r="J29" s="131"/>
    </row>
    <row r="30" spans="1:10" ht="19.5" customHeight="1" x14ac:dyDescent="0.25">
      <c r="A30" s="130"/>
      <c r="B30" s="164" t="s">
        <v>87</v>
      </c>
      <c r="C30" s="164"/>
      <c r="D30" s="100">
        <f>'Detailed Calculations'!G12/Results!I9</f>
        <v>0.86861999368799991</v>
      </c>
      <c r="E30" s="86"/>
      <c r="F30" s="100">
        <f>'Detailed Calculations'!G19/Results!I9</f>
        <v>0.86875000000000002</v>
      </c>
      <c r="G30" s="100"/>
      <c r="H30" s="100">
        <f>'Detailed Calculations'!G21/Results!I9</f>
        <v>1.737369993688</v>
      </c>
      <c r="I30" s="100"/>
      <c r="J30" s="131"/>
    </row>
    <row r="31" spans="1:10" ht="19.5" customHeight="1" x14ac:dyDescent="0.4">
      <c r="A31" s="130"/>
      <c r="B31" s="164" t="s">
        <v>88</v>
      </c>
      <c r="C31" s="164"/>
      <c r="D31" s="103">
        <f>'Detailed Calculations'!G36/Results!I9</f>
        <v>4.0500000000000001E-2</v>
      </c>
      <c r="E31" s="86"/>
      <c r="F31" s="103">
        <f>'Detailed Calculations'!G42/Results!I9</f>
        <v>0.61260833333333331</v>
      </c>
      <c r="G31" s="103"/>
      <c r="H31" s="103">
        <f>'Detailed Calculations'!G44/Results!I9</f>
        <v>0.6531083333333334</v>
      </c>
      <c r="I31" s="103"/>
      <c r="J31" s="131"/>
    </row>
    <row r="32" spans="1:10" ht="23.25" customHeight="1" x14ac:dyDescent="0.35">
      <c r="A32" s="132"/>
      <c r="B32" s="163" t="s">
        <v>112</v>
      </c>
      <c r="C32" s="163"/>
      <c r="D32" s="137">
        <f t="shared" ref="D32" si="0">D30-D31</f>
        <v>0.82811999368799993</v>
      </c>
      <c r="E32" s="86"/>
      <c r="F32" s="137">
        <f>F30-F31</f>
        <v>0.25614166666666671</v>
      </c>
      <c r="G32" s="137"/>
      <c r="H32" s="137">
        <f>H30-H31</f>
        <v>1.0842616603546666</v>
      </c>
      <c r="I32" s="104"/>
      <c r="J32" s="133"/>
    </row>
    <row r="33" spans="1:10" ht="23.25" customHeight="1" x14ac:dyDescent="0.35">
      <c r="A33" s="132"/>
      <c r="B33" s="166" t="s">
        <v>113</v>
      </c>
      <c r="C33" s="166"/>
      <c r="D33" s="138">
        <f>D32/D30</f>
        <v>0.95337431754472468</v>
      </c>
      <c r="E33" s="139"/>
      <c r="F33" s="138">
        <f>F32/F30</f>
        <v>0.29483932853717032</v>
      </c>
      <c r="G33" s="140"/>
      <c r="H33" s="138">
        <f>H32/H30</f>
        <v>0.62408218415989303</v>
      </c>
      <c r="I33" s="104"/>
      <c r="J33" s="133"/>
    </row>
    <row r="34" spans="1:10" ht="11.25" customHeight="1" x14ac:dyDescent="0.25">
      <c r="A34" s="132"/>
      <c r="B34" s="101"/>
      <c r="C34" s="101"/>
      <c r="D34" s="102"/>
      <c r="E34" s="102"/>
      <c r="F34" s="102"/>
      <c r="G34" s="102"/>
      <c r="H34" s="86"/>
      <c r="I34" s="102"/>
      <c r="J34" s="131"/>
    </row>
    <row r="35" spans="1:10" ht="12.75" customHeight="1" x14ac:dyDescent="0.25">
      <c r="A35" s="130"/>
      <c r="B35" s="86"/>
      <c r="C35" s="86"/>
      <c r="D35" s="86"/>
      <c r="E35" s="86"/>
      <c r="F35" s="86"/>
      <c r="G35" s="86"/>
      <c r="H35" s="86"/>
      <c r="I35" s="86"/>
      <c r="J35" s="131"/>
    </row>
    <row r="36" spans="1:10" x14ac:dyDescent="0.25">
      <c r="A36" s="130"/>
      <c r="B36" s="96" t="s">
        <v>98</v>
      </c>
      <c r="C36" s="86"/>
      <c r="D36" s="86"/>
      <c r="E36" s="86"/>
      <c r="F36" s="86"/>
      <c r="G36" s="86"/>
      <c r="H36" s="86"/>
      <c r="I36" s="86"/>
      <c r="J36" s="131"/>
    </row>
    <row r="37" spans="1:10" x14ac:dyDescent="0.25">
      <c r="A37" s="130"/>
      <c r="B37" s="86" t="s">
        <v>100</v>
      </c>
      <c r="C37" s="86"/>
      <c r="D37" s="86"/>
      <c r="E37" s="86"/>
      <c r="F37" s="86"/>
      <c r="G37" s="86"/>
      <c r="H37" s="86"/>
      <c r="I37" s="86"/>
      <c r="J37" s="131"/>
    </row>
    <row r="38" spans="1:10" x14ac:dyDescent="0.25">
      <c r="A38" s="130"/>
      <c r="B38" s="86" t="s">
        <v>101</v>
      </c>
      <c r="C38" s="86"/>
      <c r="D38" s="86"/>
      <c r="E38" s="86"/>
      <c r="F38" s="86"/>
      <c r="G38" s="86"/>
      <c r="H38" s="86"/>
      <c r="I38" s="86"/>
      <c r="J38" s="131"/>
    </row>
    <row r="39" spans="1:10" x14ac:dyDescent="0.25">
      <c r="A39" s="130"/>
      <c r="B39" s="86" t="s">
        <v>102</v>
      </c>
      <c r="C39" s="86"/>
      <c r="D39" s="86"/>
      <c r="E39" s="86"/>
      <c r="F39" s="86"/>
      <c r="G39" s="86"/>
      <c r="H39" s="86"/>
      <c r="I39" s="86"/>
      <c r="J39" s="131"/>
    </row>
    <row r="40" spans="1:10" x14ac:dyDescent="0.25">
      <c r="A40" s="130"/>
      <c r="B40" s="86" t="s">
        <v>103</v>
      </c>
      <c r="C40" s="86"/>
      <c r="D40" s="86"/>
      <c r="E40" s="86"/>
      <c r="F40" s="86"/>
      <c r="G40" s="86"/>
      <c r="H40" s="86"/>
      <c r="I40" s="86"/>
      <c r="J40" s="131"/>
    </row>
    <row r="41" spans="1:10" x14ac:dyDescent="0.25">
      <c r="A41" s="130"/>
      <c r="B41" s="86" t="s">
        <v>105</v>
      </c>
      <c r="C41" s="86"/>
      <c r="D41" s="86"/>
      <c r="E41" s="86"/>
      <c r="F41" s="86"/>
      <c r="G41" s="86"/>
      <c r="H41" s="86"/>
      <c r="I41" s="86"/>
      <c r="J41" s="131"/>
    </row>
    <row r="42" spans="1:10" x14ac:dyDescent="0.25">
      <c r="A42" s="130"/>
      <c r="B42" s="86" t="s">
        <v>104</v>
      </c>
      <c r="C42" s="86"/>
      <c r="D42" s="86"/>
      <c r="E42" s="86"/>
      <c r="F42" s="86"/>
      <c r="G42" s="86"/>
      <c r="H42" s="86"/>
      <c r="I42" s="86"/>
      <c r="J42" s="131"/>
    </row>
    <row r="43" spans="1:10" ht="13.5" customHeight="1" x14ac:dyDescent="0.25">
      <c r="A43" s="130"/>
      <c r="B43" s="86"/>
      <c r="C43" s="86"/>
      <c r="D43" s="86"/>
      <c r="E43" s="86"/>
      <c r="F43" s="86"/>
      <c r="G43" s="86"/>
      <c r="H43" s="86"/>
      <c r="I43" s="86"/>
      <c r="J43" s="131"/>
    </row>
    <row r="44" spans="1:10" x14ac:dyDescent="0.25">
      <c r="A44" s="160" t="s">
        <v>110</v>
      </c>
      <c r="B44" s="161"/>
      <c r="C44" s="161"/>
      <c r="D44" s="161"/>
      <c r="E44" s="161"/>
      <c r="F44" s="161"/>
      <c r="G44" s="161"/>
      <c r="H44" s="161"/>
      <c r="I44" s="161"/>
      <c r="J44" s="162"/>
    </row>
    <row r="45" spans="1:10" ht="15.75" thickBot="1" x14ac:dyDescent="0.3">
      <c r="A45" s="134"/>
      <c r="B45" s="135"/>
      <c r="C45" s="135"/>
      <c r="D45" s="135"/>
      <c r="E45" s="135"/>
      <c r="F45" s="135"/>
      <c r="G45" s="135"/>
      <c r="H45" s="135"/>
      <c r="I45" s="135"/>
      <c r="J45" s="136"/>
    </row>
    <row r="46" spans="1:10" ht="15.75" thickTop="1" x14ac:dyDescent="0.25"/>
    <row r="123" spans="8:12" x14ac:dyDescent="0.25">
      <c r="I123" s="71" t="s">
        <v>0</v>
      </c>
      <c r="J123" s="71" t="s">
        <v>4</v>
      </c>
      <c r="K123" s="71" t="s">
        <v>94</v>
      </c>
      <c r="L123" s="71" t="s">
        <v>89</v>
      </c>
    </row>
    <row r="124" spans="8:12" x14ac:dyDescent="0.25">
      <c r="H124" s="71" t="s">
        <v>87</v>
      </c>
      <c r="I124" s="94">
        <f>'Detailed Calculations'!D12+'Detailed Calculations'!E12+'Detailed Calculations'!F12</f>
        <v>86861.999368799996</v>
      </c>
      <c r="J124" s="94">
        <f>'Detailed Calculations'!D19+'Detailed Calculations'!E19+'Detailed Calculations'!F19</f>
        <v>86875</v>
      </c>
      <c r="K124" s="94">
        <f>SUM(I124:J124)</f>
        <v>173736.9993688</v>
      </c>
      <c r="L124" s="87">
        <f>'Detailed Calculations'!D23+'Detailed Calculations'!E23+'Detailed Calculations'!F23</f>
        <v>1.737369993688</v>
      </c>
    </row>
    <row r="125" spans="8:12" ht="17.25" x14ac:dyDescent="0.4">
      <c r="H125" s="71" t="s">
        <v>88</v>
      </c>
      <c r="I125" s="95">
        <f>'Detailed Calculations'!D36+'Detailed Calculations'!E36+'Detailed Calculations'!F36</f>
        <v>4050</v>
      </c>
      <c r="J125" s="95">
        <f>'Detailed Calculations'!D42+'Detailed Calculations'!E42+'Detailed Calculations'!F42</f>
        <v>61260.833333333336</v>
      </c>
      <c r="K125" s="95">
        <f>SUM(I125:J125)</f>
        <v>65310.833333333336</v>
      </c>
      <c r="L125" s="88">
        <f>'Detailed Calculations'!D46+'Detailed Calculations'!E46+'Detailed Calculations'!F46</f>
        <v>0.65310833333333329</v>
      </c>
    </row>
    <row r="126" spans="8:12" x14ac:dyDescent="0.25">
      <c r="H126" s="71" t="s">
        <v>90</v>
      </c>
      <c r="I126" s="94">
        <f>I124-I125</f>
        <v>82811.999368799996</v>
      </c>
      <c r="J126" s="94">
        <f>J124-J125</f>
        <v>25614.166666666664</v>
      </c>
      <c r="K126" s="94">
        <f>K124-K125</f>
        <v>108426.16603546665</v>
      </c>
      <c r="L126" s="87">
        <f>L124-L125</f>
        <v>1.0842616603546666</v>
      </c>
    </row>
    <row r="128" spans="8:12" x14ac:dyDescent="0.25">
      <c r="I128" s="89">
        <f>(I124-I125)/I124</f>
        <v>0.95337431754472457</v>
      </c>
      <c r="J128" s="89">
        <f>(J124-J125)/J124</f>
        <v>0.29483932853717021</v>
      </c>
      <c r="K128" s="89">
        <f>(K124-K125)/K124</f>
        <v>0.62408218415989303</v>
      </c>
      <c r="L128" s="89"/>
    </row>
    <row r="129" spans="8:14" x14ac:dyDescent="0.25">
      <c r="K129" s="87"/>
    </row>
    <row r="132" spans="8:14" x14ac:dyDescent="0.25">
      <c r="I132" s="71" t="s">
        <v>7</v>
      </c>
      <c r="J132" s="71" t="s">
        <v>8</v>
      </c>
      <c r="K132" s="71" t="s">
        <v>9</v>
      </c>
    </row>
    <row r="133" spans="8:14" x14ac:dyDescent="0.25">
      <c r="H133" s="71" t="s">
        <v>87</v>
      </c>
      <c r="I133" s="87">
        <f>'Detailed Calculations'!D23</f>
        <v>0.57912333122933335</v>
      </c>
      <c r="J133" s="87">
        <f>'Detailed Calculations'!E27</f>
        <v>1.1582466624586667</v>
      </c>
      <c r="K133" s="87">
        <f>'Detailed Calculations'!F27</f>
        <v>1.737369993688</v>
      </c>
      <c r="L133" s="87"/>
      <c r="M133" s="87"/>
      <c r="N133" s="87"/>
    </row>
    <row r="134" spans="8:14" x14ac:dyDescent="0.25">
      <c r="H134" s="71" t="s">
        <v>88</v>
      </c>
      <c r="I134" s="87">
        <f>'Detailed Calculations'!D46</f>
        <v>0.62258333333333338</v>
      </c>
      <c r="J134" s="87">
        <f>'Detailed Calculations'!E50</f>
        <v>0.63784583333333333</v>
      </c>
      <c r="K134" s="87">
        <f>'Detailed Calculations'!F50</f>
        <v>0.65310833333333329</v>
      </c>
      <c r="L134" s="87"/>
      <c r="M134" s="87"/>
      <c r="N134" s="87"/>
    </row>
  </sheetData>
  <sheetProtection password="F65D" sheet="1" objects="1" scenarios="1"/>
  <mergeCells count="8">
    <mergeCell ref="E2:I5"/>
    <mergeCell ref="A6:J6"/>
    <mergeCell ref="A44:J44"/>
    <mergeCell ref="B32:C32"/>
    <mergeCell ref="B30:C30"/>
    <mergeCell ref="B31:C31"/>
    <mergeCell ref="B28:I28"/>
    <mergeCell ref="B33:C33"/>
  </mergeCells>
  <printOptions horizontalCentered="1" verticalCentered="1"/>
  <pageMargins left="0.1" right="0.1" top="0.2" bottom="0.2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Variables</vt:lpstr>
      <vt:lpstr>Assumptions</vt:lpstr>
      <vt:lpstr>Detailed Calculations</vt:lpstr>
      <vt:lpstr>Results</vt:lpstr>
      <vt:lpstr>Assumptions!Print_Area</vt:lpstr>
      <vt:lpstr>'Detailed Calculations'!Print_Area</vt:lpstr>
      <vt:lpstr>Results!Print_Area</vt:lpstr>
      <vt:lpstr>Variables!Print_Area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Beedie</dc:creator>
  <cp:lastModifiedBy>Jason Beedie</cp:lastModifiedBy>
  <cp:lastPrinted>2013-11-19T16:06:31Z</cp:lastPrinted>
  <dcterms:created xsi:type="dcterms:W3CDTF">2013-02-05T19:22:41Z</dcterms:created>
  <dcterms:modified xsi:type="dcterms:W3CDTF">2014-03-06T21:56:57Z</dcterms:modified>
</cp:coreProperties>
</file>